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OMINA PARA VALIDAR MENSUAL\"/>
    </mc:Choice>
  </mc:AlternateContent>
  <xr:revisionPtr revIDLastSave="0" documentId="13_ncr:1_{F180F23A-B003-4312-9970-A76D620ECF88}" xr6:coauthVersionLast="47" xr6:coauthVersionMax="47" xr10:uidLastSave="{00000000-0000-0000-0000-000000000000}"/>
  <bookViews>
    <workbookView xWindow="-120" yWindow="-120" windowWidth="29040" windowHeight="15720" tabRatio="606" firstSheet="1" activeTab="1" xr2:uid="{00000000-000D-0000-FFFF-FFFF00000000}"/>
  </bookViews>
  <sheets>
    <sheet name="Datos" sheetId="9" r:id="rId1"/>
    <sheet name="Nómina CAID Fija" sheetId="45" r:id="rId2"/>
    <sheet name="Novedades Fija" sheetId="42" r:id="rId3"/>
    <sheet name="Nómina Interinato" sheetId="52" r:id="rId4"/>
    <sheet name="Novedades Interinato" sheetId="53" r:id="rId5"/>
    <sheet name="Nómina Suplencia" sheetId="51" r:id="rId6"/>
    <sheet name="Novedades Suplencia" sheetId="50" r:id="rId7"/>
    <sheet name="Nómina CAID Temporal" sheetId="20" r:id="rId8"/>
    <sheet name="Novedades Temporal" sheetId="43" r:id="rId9"/>
    <sheet name="Nómina CAID Seguridad" sheetId="47" r:id="rId10"/>
    <sheet name="Novedades Seguridad" sheetId="46" r:id="rId11"/>
    <sheet name="Nómina CAID Eventual" sheetId="28" r:id="rId12"/>
    <sheet name="Novedades Eventual" sheetId="44" r:id="rId13"/>
    <sheet name="Nómina CAID Pensionados" sheetId="39" r:id="rId14"/>
    <sheet name="Novedades Pensionados" sheetId="48" r:id="rId15"/>
  </sheets>
  <externalReferences>
    <externalReference r:id="rId16"/>
    <externalReference r:id="rId17"/>
    <externalReference r:id="rId18"/>
  </externalReferences>
  <definedNames>
    <definedName name="_xlnm._FilterDatabase" localSheetId="11" hidden="1">'Nómina CAID Eventual'!$B$6:$X$30</definedName>
    <definedName name="_xlnm._FilterDatabase" localSheetId="1" hidden="1">'Nómina CAID Fija'!$D$1:$D$472</definedName>
    <definedName name="_xlnm._FilterDatabase" localSheetId="13" hidden="1">'Nómina CAID Pensionados'!$B$6:$W$9</definedName>
    <definedName name="_xlnm._FilterDatabase" localSheetId="9" hidden="1">'Nómina CAID Seguridad'!$B$6:$V$74</definedName>
    <definedName name="_xlnm._FilterDatabase" localSheetId="7" hidden="1">'Nómina CAID Temporal'!$D$3:$D$118</definedName>
    <definedName name="_xlnm._FilterDatabase" localSheetId="3" hidden="1">'Nómina Interinato'!$B$7:$W$15</definedName>
    <definedName name="_xlnm._FilterDatabase" localSheetId="5" hidden="1">'Nómina Suplencia'!$B$7:$X$11</definedName>
    <definedName name="_xlnm.Print_Area" localSheetId="0">Datos!$B$5:$H$10</definedName>
    <definedName name="_xlnm.Print_Area" localSheetId="12">'Novedades Eventual'!$A$4:$K$47</definedName>
    <definedName name="_xlnm.Print_Area" localSheetId="2">'Novedades Fija'!$A$20:$I$50</definedName>
    <definedName name="_xlnm.Print_Area" localSheetId="4">'Novedades Interinato'!$A$4:$K$45</definedName>
    <definedName name="_xlnm.Print_Area" localSheetId="14">'Novedades Pensionados'!$A$4:$K$44</definedName>
    <definedName name="_xlnm.Print_Area" localSheetId="10">'Novedades Seguridad'!$A$4:$K$42</definedName>
    <definedName name="_xlnm.Print_Area" localSheetId="6">'Novedades Suplencia'!$A$4:$K$45</definedName>
    <definedName name="_xlnm.Print_Area" localSheetId="8">'Novedades Temporal'!$A$1:$K$29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0" i="45" l="1"/>
  <c r="O55" i="20"/>
  <c r="O56" i="20"/>
  <c r="O57" i="20"/>
  <c r="M55" i="20"/>
  <c r="M56" i="20"/>
  <c r="L56" i="20"/>
  <c r="P8" i="45" l="1"/>
  <c r="P9" i="45"/>
  <c r="P10" i="45"/>
  <c r="P11" i="45"/>
  <c r="P12" i="45"/>
  <c r="P13" i="45"/>
  <c r="P14" i="45"/>
  <c r="P15" i="45"/>
  <c r="P16" i="45"/>
  <c r="P17" i="45"/>
  <c r="P18" i="45"/>
  <c r="P19" i="45"/>
  <c r="P20" i="45"/>
  <c r="P21" i="45"/>
  <c r="P22" i="45"/>
  <c r="P23" i="45"/>
  <c r="P24" i="45"/>
  <c r="P25" i="45"/>
  <c r="P26" i="45"/>
  <c r="P27" i="45"/>
  <c r="P28" i="45"/>
  <c r="P29" i="45"/>
  <c r="P30" i="45"/>
  <c r="P31" i="45"/>
  <c r="P32" i="45"/>
  <c r="P33" i="45"/>
  <c r="P34" i="45"/>
  <c r="P35" i="45"/>
  <c r="P36" i="45"/>
  <c r="P37" i="45"/>
  <c r="P38" i="45"/>
  <c r="P39" i="45"/>
  <c r="P40" i="45"/>
  <c r="P41" i="45"/>
  <c r="P42" i="45"/>
  <c r="P43" i="45"/>
  <c r="P44" i="45"/>
  <c r="P45" i="45"/>
  <c r="P46" i="45"/>
  <c r="P47" i="45"/>
  <c r="P48" i="45"/>
  <c r="P49" i="45"/>
  <c r="P50" i="45"/>
  <c r="P51" i="45"/>
  <c r="P52" i="45"/>
  <c r="P53" i="45"/>
  <c r="P54" i="45"/>
  <c r="P55" i="45"/>
  <c r="P56" i="45"/>
  <c r="P57" i="45"/>
  <c r="P58" i="45"/>
  <c r="P59" i="45"/>
  <c r="P60" i="45"/>
  <c r="P61" i="45"/>
  <c r="P62" i="45"/>
  <c r="P63" i="45"/>
  <c r="P64" i="45"/>
  <c r="P65" i="45"/>
  <c r="P66" i="45"/>
  <c r="P67" i="45"/>
  <c r="P68" i="45"/>
  <c r="P69" i="45"/>
  <c r="P70" i="45"/>
  <c r="P71" i="45"/>
  <c r="P72" i="45"/>
  <c r="P73" i="45"/>
  <c r="P74" i="45"/>
  <c r="P75" i="45"/>
  <c r="P76" i="45"/>
  <c r="P77" i="45"/>
  <c r="P78" i="45"/>
  <c r="P79" i="45"/>
  <c r="P80" i="45"/>
  <c r="P81" i="45"/>
  <c r="P82" i="45"/>
  <c r="P83" i="45"/>
  <c r="P84" i="45"/>
  <c r="P85" i="45"/>
  <c r="P86" i="45"/>
  <c r="P87" i="45"/>
  <c r="P88" i="45"/>
  <c r="P89" i="45"/>
  <c r="P90" i="45"/>
  <c r="P91" i="45"/>
  <c r="P92" i="45"/>
  <c r="P93" i="45"/>
  <c r="P94" i="45"/>
  <c r="P95" i="45"/>
  <c r="P96" i="45"/>
  <c r="P97" i="45"/>
  <c r="P98" i="45"/>
  <c r="P99" i="45"/>
  <c r="P100" i="45"/>
  <c r="P101" i="45"/>
  <c r="P102" i="45"/>
  <c r="P103" i="45"/>
  <c r="P104" i="45"/>
  <c r="P105" i="45"/>
  <c r="P106" i="45"/>
  <c r="P107" i="45"/>
  <c r="P108" i="45"/>
  <c r="P109" i="45"/>
  <c r="P110" i="45"/>
  <c r="P111" i="45"/>
  <c r="P112" i="45"/>
  <c r="P113" i="45"/>
  <c r="P114" i="45"/>
  <c r="P115" i="45"/>
  <c r="P116" i="45"/>
  <c r="P117" i="45"/>
  <c r="P118" i="45"/>
  <c r="P119" i="45"/>
  <c r="P120" i="45"/>
  <c r="P121" i="45"/>
  <c r="P122" i="45"/>
  <c r="P123" i="45"/>
  <c r="P124" i="45"/>
  <c r="P125" i="45"/>
  <c r="P126" i="45"/>
  <c r="P127" i="45"/>
  <c r="P128" i="45"/>
  <c r="P129" i="45"/>
  <c r="P130" i="45"/>
  <c r="P131" i="45"/>
  <c r="P132" i="45"/>
  <c r="P133" i="45"/>
  <c r="P134" i="45"/>
  <c r="P135" i="45"/>
  <c r="P136" i="45"/>
  <c r="P137" i="45"/>
  <c r="P138" i="45"/>
  <c r="P139" i="45"/>
  <c r="P140" i="45"/>
  <c r="P141" i="45"/>
  <c r="P142" i="45"/>
  <c r="P143" i="45"/>
  <c r="P144" i="45"/>
  <c r="P145" i="45"/>
  <c r="P146" i="45"/>
  <c r="P147" i="45"/>
  <c r="P148" i="45"/>
  <c r="P149" i="45"/>
  <c r="P150" i="45"/>
  <c r="P151" i="45"/>
  <c r="P152" i="45"/>
  <c r="P153" i="45"/>
  <c r="P154" i="45"/>
  <c r="P155" i="45"/>
  <c r="P156" i="45"/>
  <c r="P157" i="45"/>
  <c r="P158" i="45"/>
  <c r="P159" i="45"/>
  <c r="P160" i="45"/>
  <c r="P161" i="45"/>
  <c r="P162" i="45"/>
  <c r="P163" i="45"/>
  <c r="P164" i="45"/>
  <c r="P165" i="45"/>
  <c r="P166" i="45"/>
  <c r="P167" i="45"/>
  <c r="P168" i="45"/>
  <c r="P169" i="45"/>
  <c r="P170" i="45"/>
  <c r="P171" i="45"/>
  <c r="P173" i="45"/>
  <c r="P174" i="45"/>
  <c r="P175" i="45"/>
  <c r="P176" i="45"/>
  <c r="P177" i="45"/>
  <c r="P178" i="45"/>
  <c r="P179" i="45"/>
  <c r="P180" i="45"/>
  <c r="P181" i="45"/>
  <c r="P182" i="45"/>
  <c r="P183" i="45"/>
  <c r="P184" i="45"/>
  <c r="P185" i="45"/>
  <c r="P186" i="45"/>
  <c r="P187" i="45"/>
  <c r="P188" i="45"/>
  <c r="P189" i="45"/>
  <c r="P190" i="45"/>
  <c r="P191" i="45"/>
  <c r="P192" i="45"/>
  <c r="P193" i="45"/>
  <c r="P194" i="45"/>
  <c r="P195" i="45"/>
  <c r="P196" i="45"/>
  <c r="P197" i="45"/>
  <c r="P198" i="45"/>
  <c r="P199" i="45"/>
  <c r="P200" i="45"/>
  <c r="P201" i="45"/>
  <c r="P202" i="45"/>
  <c r="P203" i="45"/>
  <c r="P204" i="45"/>
  <c r="P205" i="45"/>
  <c r="P206" i="45"/>
  <c r="P207" i="45"/>
  <c r="P208" i="45"/>
  <c r="P209" i="45"/>
  <c r="P210" i="45"/>
  <c r="P211" i="45"/>
  <c r="P212" i="45"/>
  <c r="P213" i="45"/>
  <c r="P214" i="45"/>
  <c r="P215" i="45"/>
  <c r="P216" i="45"/>
  <c r="P217" i="45"/>
  <c r="P218" i="45"/>
  <c r="P219" i="45"/>
  <c r="P220" i="45"/>
  <c r="P221" i="45"/>
  <c r="P222" i="45"/>
  <c r="P223" i="45"/>
  <c r="P224" i="45"/>
  <c r="P225" i="45"/>
  <c r="P226" i="45"/>
  <c r="P227" i="45"/>
  <c r="P228" i="45"/>
  <c r="P229" i="45"/>
  <c r="P230" i="45"/>
  <c r="P231" i="45"/>
  <c r="P232" i="45"/>
  <c r="P233" i="45"/>
  <c r="P234" i="45"/>
  <c r="P235" i="45"/>
  <c r="P236" i="45"/>
  <c r="P237" i="45"/>
  <c r="P238" i="45"/>
  <c r="P239" i="45"/>
  <c r="P240" i="45"/>
  <c r="P241" i="45"/>
  <c r="P242" i="45"/>
  <c r="P243" i="45"/>
  <c r="P244" i="45"/>
  <c r="P245" i="45"/>
  <c r="P246" i="45"/>
  <c r="P247" i="45"/>
  <c r="P248" i="45"/>
  <c r="P249" i="45"/>
  <c r="P250" i="45"/>
  <c r="P251" i="45"/>
  <c r="P252" i="45"/>
  <c r="P253" i="45"/>
  <c r="P254" i="45"/>
  <c r="P255" i="45"/>
  <c r="P256" i="45"/>
  <c r="P257" i="45"/>
  <c r="P258" i="45"/>
  <c r="P259" i="45"/>
  <c r="P260" i="45"/>
  <c r="P261" i="45"/>
  <c r="P262" i="45"/>
  <c r="P263" i="45"/>
  <c r="P264" i="45"/>
  <c r="P265" i="45"/>
  <c r="P266" i="45"/>
  <c r="P267" i="45"/>
  <c r="P268" i="45"/>
  <c r="P269" i="45"/>
  <c r="P270" i="45"/>
  <c r="P271" i="45"/>
  <c r="P272" i="45"/>
  <c r="P273" i="45"/>
  <c r="P274" i="45"/>
  <c r="P275" i="45"/>
  <c r="P276" i="45"/>
  <c r="P277" i="45"/>
  <c r="P278" i="45"/>
  <c r="P279" i="45"/>
  <c r="P280" i="45"/>
  <c r="P281" i="45"/>
  <c r="P282" i="45"/>
  <c r="P283" i="45"/>
  <c r="P284" i="45"/>
  <c r="P285" i="45"/>
  <c r="P286" i="45"/>
  <c r="P287" i="45"/>
  <c r="P288" i="45"/>
  <c r="P289" i="45"/>
  <c r="P290" i="45"/>
  <c r="P291" i="45"/>
  <c r="P292" i="45"/>
  <c r="P293" i="45"/>
  <c r="P294" i="45"/>
  <c r="P295" i="45"/>
  <c r="P296" i="45"/>
  <c r="P297" i="45"/>
  <c r="P298" i="45"/>
  <c r="P299" i="45"/>
  <c r="P300" i="45"/>
  <c r="P301" i="45"/>
  <c r="P302" i="45"/>
  <c r="P303" i="45"/>
  <c r="P304" i="45"/>
  <c r="P305" i="45"/>
  <c r="P306" i="45"/>
  <c r="P307" i="45"/>
  <c r="P308" i="45"/>
  <c r="P309" i="45"/>
  <c r="P310" i="45"/>
  <c r="P311" i="45"/>
  <c r="P312" i="45"/>
  <c r="P313" i="45"/>
  <c r="P314" i="45"/>
  <c r="P315" i="45"/>
  <c r="P316" i="45"/>
  <c r="P317" i="45"/>
  <c r="P318" i="45"/>
  <c r="P319" i="45"/>
  <c r="P320" i="45"/>
  <c r="P321" i="45"/>
  <c r="P322" i="45"/>
  <c r="P323" i="45"/>
  <c r="P324" i="45"/>
  <c r="P325" i="45"/>
  <c r="P326" i="45"/>
  <c r="P327" i="45"/>
  <c r="P328" i="45"/>
  <c r="P329" i="45"/>
  <c r="P330" i="45"/>
  <c r="P331" i="45"/>
  <c r="P332" i="45"/>
  <c r="P333" i="45"/>
  <c r="P334" i="45"/>
  <c r="P335" i="45"/>
  <c r="P336" i="45"/>
  <c r="P337" i="45"/>
  <c r="P338" i="45"/>
  <c r="P339" i="45"/>
  <c r="P340" i="45"/>
  <c r="P341" i="45"/>
  <c r="P342" i="45"/>
  <c r="P343" i="45"/>
  <c r="P344" i="45"/>
  <c r="P345" i="45"/>
  <c r="P346" i="45"/>
  <c r="P347" i="45"/>
  <c r="P348" i="45"/>
  <c r="P349" i="45"/>
  <c r="P350" i="45"/>
  <c r="P351" i="45"/>
  <c r="P352" i="45"/>
  <c r="P353" i="45"/>
  <c r="P354" i="45"/>
  <c r="P355" i="45"/>
  <c r="P356" i="45"/>
  <c r="P357" i="45"/>
  <c r="P358" i="45"/>
  <c r="P359" i="45"/>
  <c r="P360" i="45"/>
  <c r="P361" i="45"/>
  <c r="P362" i="45"/>
  <c r="P363" i="45"/>
  <c r="P364" i="45"/>
  <c r="P365" i="45"/>
  <c r="P366" i="45"/>
  <c r="P367" i="45"/>
  <c r="P368" i="45"/>
  <c r="P369" i="45"/>
  <c r="P370" i="45"/>
  <c r="P371" i="45"/>
  <c r="P372" i="45"/>
  <c r="P373" i="45"/>
  <c r="P374" i="45"/>
  <c r="P375" i="45"/>
  <c r="P376" i="45"/>
  <c r="P377" i="45"/>
  <c r="P378" i="45"/>
  <c r="P379" i="45"/>
  <c r="P380" i="45"/>
  <c r="P381" i="45"/>
  <c r="P382" i="45"/>
  <c r="P383" i="45"/>
  <c r="P384" i="45"/>
  <c r="P385" i="45"/>
  <c r="P386" i="45"/>
  <c r="P387" i="45"/>
  <c r="P388" i="45"/>
  <c r="P389" i="45"/>
  <c r="P390" i="45"/>
  <c r="P391" i="45"/>
  <c r="P392" i="45"/>
  <c r="P393" i="45"/>
  <c r="P394" i="45"/>
  <c r="P395" i="45"/>
  <c r="P396" i="45"/>
  <c r="P397" i="45"/>
  <c r="P398" i="45"/>
  <c r="P399" i="45"/>
  <c r="P400" i="45"/>
  <c r="P401" i="45"/>
  <c r="P402" i="45"/>
  <c r="P403" i="45"/>
  <c r="P404" i="45"/>
  <c r="P405" i="45"/>
  <c r="P406" i="45"/>
  <c r="P407" i="45"/>
  <c r="P408" i="45"/>
  <c r="P409" i="45"/>
  <c r="P410" i="45"/>
  <c r="P411" i="45"/>
  <c r="P412" i="45"/>
  <c r="P413" i="45"/>
  <c r="P414" i="45"/>
  <c r="P415" i="45"/>
  <c r="P416" i="45"/>
  <c r="P417" i="45"/>
  <c r="P418" i="45"/>
  <c r="P419" i="45"/>
  <c r="P420" i="45"/>
  <c r="P421" i="45"/>
  <c r="P422" i="45"/>
  <c r="P423" i="45"/>
  <c r="P424" i="45"/>
  <c r="P425" i="45"/>
  <c r="P426" i="45"/>
  <c r="P427" i="45"/>
  <c r="P428" i="45"/>
  <c r="P429" i="45"/>
  <c r="P430" i="45"/>
  <c r="P431" i="45"/>
  <c r="P432" i="45"/>
  <c r="P433" i="45"/>
  <c r="P434" i="45"/>
  <c r="P435" i="45"/>
  <c r="P436" i="45"/>
  <c r="P437" i="45"/>
  <c r="P438" i="45"/>
  <c r="P439" i="45"/>
  <c r="P440" i="45"/>
  <c r="P441" i="45"/>
  <c r="P442" i="45"/>
  <c r="P443" i="45"/>
  <c r="P444" i="45"/>
  <c r="P445" i="45"/>
  <c r="P446" i="45"/>
  <c r="P447" i="45"/>
  <c r="P448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53" i="45"/>
  <c r="L54" i="45"/>
  <c r="L55" i="45"/>
  <c r="L56" i="45"/>
  <c r="L57" i="45"/>
  <c r="L58" i="45"/>
  <c r="L59" i="45"/>
  <c r="L60" i="45"/>
  <c r="L61" i="45"/>
  <c r="L62" i="45"/>
  <c r="L63" i="45"/>
  <c r="L64" i="45"/>
  <c r="L65" i="45"/>
  <c r="L66" i="45"/>
  <c r="L67" i="45"/>
  <c r="L68" i="45"/>
  <c r="L69" i="45"/>
  <c r="L70" i="45"/>
  <c r="L71" i="45"/>
  <c r="L72" i="45"/>
  <c r="L73" i="45"/>
  <c r="L74" i="45"/>
  <c r="L75" i="45"/>
  <c r="L76" i="45"/>
  <c r="L77" i="45"/>
  <c r="L78" i="45"/>
  <c r="L79" i="45"/>
  <c r="L80" i="45"/>
  <c r="L81" i="45"/>
  <c r="L82" i="45"/>
  <c r="L83" i="45"/>
  <c r="L84" i="45"/>
  <c r="L85" i="45"/>
  <c r="L86" i="45"/>
  <c r="L87" i="45"/>
  <c r="L88" i="45"/>
  <c r="L89" i="45"/>
  <c r="L90" i="45"/>
  <c r="L91" i="45"/>
  <c r="L92" i="45"/>
  <c r="L93" i="45"/>
  <c r="L94" i="45"/>
  <c r="L95" i="45"/>
  <c r="L96" i="45"/>
  <c r="L97" i="45"/>
  <c r="L98" i="45"/>
  <c r="L99" i="45"/>
  <c r="L100" i="45"/>
  <c r="L101" i="45"/>
  <c r="L102" i="45"/>
  <c r="L103" i="45"/>
  <c r="L104" i="45"/>
  <c r="L105" i="45"/>
  <c r="L106" i="45"/>
  <c r="L107" i="45"/>
  <c r="L108" i="45"/>
  <c r="L109" i="45"/>
  <c r="L110" i="45"/>
  <c r="L111" i="45"/>
  <c r="L112" i="45"/>
  <c r="L113" i="45"/>
  <c r="L114" i="45"/>
  <c r="L115" i="45"/>
  <c r="L116" i="45"/>
  <c r="L117" i="45"/>
  <c r="L118" i="45"/>
  <c r="L119" i="45"/>
  <c r="L120" i="45"/>
  <c r="L121" i="45"/>
  <c r="L122" i="45"/>
  <c r="L123" i="45"/>
  <c r="L124" i="45"/>
  <c r="L125" i="45"/>
  <c r="L126" i="45"/>
  <c r="L127" i="45"/>
  <c r="L128" i="45"/>
  <c r="L129" i="45"/>
  <c r="L130" i="45"/>
  <c r="L131" i="45"/>
  <c r="L132" i="45"/>
  <c r="L133" i="45"/>
  <c r="L134" i="45"/>
  <c r="L135" i="45"/>
  <c r="L136" i="45"/>
  <c r="L137" i="45"/>
  <c r="L138" i="45"/>
  <c r="L139" i="45"/>
  <c r="L140" i="45"/>
  <c r="L141" i="45"/>
  <c r="L142" i="45"/>
  <c r="L143" i="45"/>
  <c r="L144" i="45"/>
  <c r="L145" i="45"/>
  <c r="L146" i="45"/>
  <c r="L147" i="45"/>
  <c r="L148" i="45"/>
  <c r="L149" i="45"/>
  <c r="L150" i="45"/>
  <c r="L151" i="45"/>
  <c r="L152" i="45"/>
  <c r="L153" i="45"/>
  <c r="L154" i="45"/>
  <c r="L155" i="45"/>
  <c r="L156" i="45"/>
  <c r="L157" i="45"/>
  <c r="L158" i="45"/>
  <c r="L159" i="45"/>
  <c r="L160" i="45"/>
  <c r="L161" i="45"/>
  <c r="L162" i="45"/>
  <c r="L163" i="45"/>
  <c r="L164" i="45"/>
  <c r="L165" i="45"/>
  <c r="L166" i="45"/>
  <c r="L167" i="45"/>
  <c r="L168" i="45"/>
  <c r="L169" i="45"/>
  <c r="L170" i="45"/>
  <c r="L171" i="45"/>
  <c r="L172" i="45"/>
  <c r="L173" i="45"/>
  <c r="L174" i="45"/>
  <c r="L175" i="45"/>
  <c r="L176" i="45"/>
  <c r="L177" i="45"/>
  <c r="L178" i="45"/>
  <c r="L179" i="45"/>
  <c r="L180" i="45"/>
  <c r="L181" i="45"/>
  <c r="L182" i="45"/>
  <c r="L183" i="45"/>
  <c r="L184" i="45"/>
  <c r="L185" i="45"/>
  <c r="L186" i="45"/>
  <c r="L187" i="45"/>
  <c r="L188" i="45"/>
  <c r="L189" i="45"/>
  <c r="L190" i="45"/>
  <c r="L191" i="45"/>
  <c r="L192" i="45"/>
  <c r="L193" i="45"/>
  <c r="L194" i="45"/>
  <c r="L195" i="45"/>
  <c r="L196" i="45"/>
  <c r="L197" i="45"/>
  <c r="L198" i="45"/>
  <c r="L199" i="45"/>
  <c r="L200" i="45"/>
  <c r="L201" i="45"/>
  <c r="L202" i="45"/>
  <c r="L203" i="45"/>
  <c r="L204" i="45"/>
  <c r="L205" i="45"/>
  <c r="L206" i="45"/>
  <c r="L207" i="45"/>
  <c r="L208" i="45"/>
  <c r="L209" i="45"/>
  <c r="L210" i="45"/>
  <c r="L211" i="45"/>
  <c r="L212" i="45"/>
  <c r="L213" i="45"/>
  <c r="L214" i="45"/>
  <c r="L215" i="45"/>
  <c r="L216" i="45"/>
  <c r="L217" i="45"/>
  <c r="L218" i="45"/>
  <c r="L219" i="45"/>
  <c r="L220" i="45"/>
  <c r="L221" i="45"/>
  <c r="L222" i="45"/>
  <c r="L223" i="45"/>
  <c r="L224" i="45"/>
  <c r="L225" i="45"/>
  <c r="L226" i="45"/>
  <c r="L227" i="45"/>
  <c r="L228" i="45"/>
  <c r="L229" i="45"/>
  <c r="L230" i="45"/>
  <c r="L231" i="45"/>
  <c r="L232" i="45"/>
  <c r="L233" i="45"/>
  <c r="L234" i="45"/>
  <c r="L235" i="45"/>
  <c r="L236" i="45"/>
  <c r="L237" i="45"/>
  <c r="L238" i="45"/>
  <c r="L239" i="45"/>
  <c r="L240" i="45"/>
  <c r="L241" i="45"/>
  <c r="L242" i="45"/>
  <c r="L243" i="45"/>
  <c r="L244" i="45"/>
  <c r="L245" i="45"/>
  <c r="L246" i="45"/>
  <c r="L247" i="45"/>
  <c r="L248" i="45"/>
  <c r="L249" i="45"/>
  <c r="L250" i="45"/>
  <c r="L251" i="45"/>
  <c r="L252" i="45"/>
  <c r="L253" i="45"/>
  <c r="L254" i="45"/>
  <c r="L255" i="45"/>
  <c r="L256" i="45"/>
  <c r="L257" i="45"/>
  <c r="L258" i="45"/>
  <c r="L259" i="45"/>
  <c r="L260" i="45"/>
  <c r="L261" i="45"/>
  <c r="L262" i="45"/>
  <c r="L263" i="45"/>
  <c r="L264" i="45"/>
  <c r="L265" i="45"/>
  <c r="L266" i="45"/>
  <c r="L267" i="45"/>
  <c r="L268" i="45"/>
  <c r="L269" i="45"/>
  <c r="L270" i="45"/>
  <c r="L271" i="45"/>
  <c r="L272" i="45"/>
  <c r="L273" i="45"/>
  <c r="L274" i="45"/>
  <c r="L275" i="45"/>
  <c r="L276" i="45"/>
  <c r="L277" i="45"/>
  <c r="L278" i="45"/>
  <c r="L279" i="45"/>
  <c r="L280" i="45"/>
  <c r="L281" i="45"/>
  <c r="L282" i="45"/>
  <c r="L283" i="45"/>
  <c r="L284" i="45"/>
  <c r="L285" i="45"/>
  <c r="L286" i="45"/>
  <c r="L287" i="45"/>
  <c r="L288" i="45"/>
  <c r="L289" i="45"/>
  <c r="L290" i="45"/>
  <c r="L291" i="45"/>
  <c r="L292" i="45"/>
  <c r="L293" i="45"/>
  <c r="L294" i="45"/>
  <c r="L295" i="45"/>
  <c r="L296" i="45"/>
  <c r="L297" i="45"/>
  <c r="L298" i="45"/>
  <c r="L299" i="45"/>
  <c r="L300" i="45"/>
  <c r="L301" i="45"/>
  <c r="L302" i="45"/>
  <c r="L303" i="45"/>
  <c r="L304" i="45"/>
  <c r="L305" i="45"/>
  <c r="L306" i="45"/>
  <c r="L307" i="45"/>
  <c r="L308" i="45"/>
  <c r="L309" i="45"/>
  <c r="L310" i="45"/>
  <c r="L311" i="45"/>
  <c r="L312" i="45"/>
  <c r="L313" i="45"/>
  <c r="L314" i="45"/>
  <c r="L315" i="45"/>
  <c r="L316" i="45"/>
  <c r="L317" i="45"/>
  <c r="L318" i="45"/>
  <c r="L319" i="45"/>
  <c r="L320" i="45"/>
  <c r="L321" i="45"/>
  <c r="L322" i="45"/>
  <c r="L323" i="45"/>
  <c r="L324" i="45"/>
  <c r="L325" i="45"/>
  <c r="L326" i="45"/>
  <c r="L327" i="45"/>
  <c r="L328" i="45"/>
  <c r="L329" i="45"/>
  <c r="L330" i="45"/>
  <c r="L331" i="45"/>
  <c r="L332" i="45"/>
  <c r="L333" i="45"/>
  <c r="L334" i="45"/>
  <c r="L335" i="45"/>
  <c r="L336" i="45"/>
  <c r="L337" i="45"/>
  <c r="L338" i="45"/>
  <c r="L339" i="45"/>
  <c r="L340" i="45"/>
  <c r="L341" i="45"/>
  <c r="L342" i="45"/>
  <c r="L343" i="45"/>
  <c r="L344" i="45"/>
  <c r="L345" i="45"/>
  <c r="L346" i="45"/>
  <c r="L347" i="45"/>
  <c r="L348" i="45"/>
  <c r="L349" i="45"/>
  <c r="L350" i="45"/>
  <c r="L351" i="45"/>
  <c r="L352" i="45"/>
  <c r="L353" i="45"/>
  <c r="L354" i="45"/>
  <c r="L355" i="45"/>
  <c r="L356" i="45"/>
  <c r="L357" i="45"/>
  <c r="L358" i="45"/>
  <c r="L359" i="45"/>
  <c r="L360" i="45"/>
  <c r="L361" i="45"/>
  <c r="L362" i="45"/>
  <c r="L363" i="45"/>
  <c r="L364" i="45"/>
  <c r="L365" i="45"/>
  <c r="L366" i="45"/>
  <c r="L367" i="45"/>
  <c r="L368" i="45"/>
  <c r="L369" i="45"/>
  <c r="L370" i="45"/>
  <c r="L371" i="45"/>
  <c r="L372" i="45"/>
  <c r="L373" i="45"/>
  <c r="L374" i="45"/>
  <c r="L375" i="45"/>
  <c r="L376" i="45"/>
  <c r="L377" i="45"/>
  <c r="L378" i="45"/>
  <c r="L379" i="45"/>
  <c r="L380" i="45"/>
  <c r="L381" i="45"/>
  <c r="L382" i="45"/>
  <c r="L383" i="45"/>
  <c r="L384" i="45"/>
  <c r="L385" i="45"/>
  <c r="L386" i="45"/>
  <c r="L387" i="45"/>
  <c r="L388" i="45"/>
  <c r="L389" i="45"/>
  <c r="L390" i="45"/>
  <c r="L391" i="45"/>
  <c r="L392" i="45"/>
  <c r="L393" i="45"/>
  <c r="L394" i="45"/>
  <c r="L395" i="45"/>
  <c r="L396" i="45"/>
  <c r="L397" i="45"/>
  <c r="L398" i="45"/>
  <c r="L399" i="45"/>
  <c r="L400" i="45"/>
  <c r="L401" i="45"/>
  <c r="L402" i="45"/>
  <c r="L403" i="45"/>
  <c r="L404" i="45"/>
  <c r="L405" i="45"/>
  <c r="L406" i="45"/>
  <c r="L407" i="45"/>
  <c r="L408" i="45"/>
  <c r="L409" i="45"/>
  <c r="L410" i="45"/>
  <c r="L411" i="45"/>
  <c r="L412" i="45"/>
  <c r="L413" i="45"/>
  <c r="L414" i="45"/>
  <c r="L415" i="45"/>
  <c r="L416" i="45"/>
  <c r="L417" i="45"/>
  <c r="L418" i="45"/>
  <c r="L419" i="45"/>
  <c r="L420" i="45"/>
  <c r="L421" i="45"/>
  <c r="L422" i="45"/>
  <c r="L423" i="45"/>
  <c r="L424" i="45"/>
  <c r="L425" i="45"/>
  <c r="L426" i="45"/>
  <c r="L427" i="45"/>
  <c r="L428" i="45"/>
  <c r="L429" i="45"/>
  <c r="L430" i="45"/>
  <c r="L431" i="45"/>
  <c r="L432" i="45"/>
  <c r="L433" i="45"/>
  <c r="L434" i="45"/>
  <c r="L435" i="45"/>
  <c r="L436" i="45"/>
  <c r="L437" i="45"/>
  <c r="L438" i="45"/>
  <c r="L439" i="45"/>
  <c r="L440" i="45"/>
  <c r="L441" i="45"/>
  <c r="L442" i="45"/>
  <c r="L443" i="45"/>
  <c r="L444" i="45"/>
  <c r="L445" i="45"/>
  <c r="L446" i="45"/>
  <c r="L447" i="45"/>
  <c r="L448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94" i="45"/>
  <c r="M95" i="45"/>
  <c r="M96" i="45"/>
  <c r="M97" i="45"/>
  <c r="M98" i="45"/>
  <c r="M99" i="45"/>
  <c r="M100" i="45"/>
  <c r="M101" i="45"/>
  <c r="M102" i="45"/>
  <c r="M103" i="45"/>
  <c r="M104" i="45"/>
  <c r="M105" i="45"/>
  <c r="M106" i="45"/>
  <c r="M107" i="45"/>
  <c r="M108" i="45"/>
  <c r="M109" i="45"/>
  <c r="M110" i="45"/>
  <c r="M111" i="45"/>
  <c r="M112" i="45"/>
  <c r="M113" i="45"/>
  <c r="M114" i="45"/>
  <c r="M115" i="45"/>
  <c r="M116" i="45"/>
  <c r="M117" i="45"/>
  <c r="M118" i="45"/>
  <c r="M119" i="45"/>
  <c r="M120" i="45"/>
  <c r="M121" i="45"/>
  <c r="M122" i="45"/>
  <c r="M123" i="45"/>
  <c r="M124" i="45"/>
  <c r="M125" i="45"/>
  <c r="M126" i="45"/>
  <c r="M127" i="45"/>
  <c r="M128" i="45"/>
  <c r="M129" i="45"/>
  <c r="M130" i="45"/>
  <c r="M131" i="45"/>
  <c r="M132" i="45"/>
  <c r="M133" i="45"/>
  <c r="M134" i="45"/>
  <c r="M135" i="45"/>
  <c r="M136" i="45"/>
  <c r="M137" i="45"/>
  <c r="M138" i="45"/>
  <c r="M139" i="45"/>
  <c r="M140" i="45"/>
  <c r="M141" i="45"/>
  <c r="M142" i="45"/>
  <c r="M143" i="45"/>
  <c r="M144" i="45"/>
  <c r="M145" i="45"/>
  <c r="M146" i="45"/>
  <c r="M147" i="45"/>
  <c r="M148" i="45"/>
  <c r="M149" i="45"/>
  <c r="M150" i="45"/>
  <c r="M151" i="45"/>
  <c r="M152" i="45"/>
  <c r="M153" i="45"/>
  <c r="M154" i="45"/>
  <c r="M155" i="45"/>
  <c r="M156" i="45"/>
  <c r="M157" i="45"/>
  <c r="M158" i="45"/>
  <c r="M159" i="45"/>
  <c r="M160" i="45"/>
  <c r="M161" i="45"/>
  <c r="M162" i="45"/>
  <c r="M163" i="45"/>
  <c r="M164" i="45"/>
  <c r="M165" i="45"/>
  <c r="M166" i="45"/>
  <c r="M167" i="45"/>
  <c r="M168" i="45"/>
  <c r="M169" i="45"/>
  <c r="M170" i="45"/>
  <c r="M171" i="45"/>
  <c r="M173" i="45"/>
  <c r="M174" i="45"/>
  <c r="M175" i="45"/>
  <c r="M176" i="45"/>
  <c r="M177" i="45"/>
  <c r="M178" i="45"/>
  <c r="M179" i="45"/>
  <c r="M180" i="45"/>
  <c r="M181" i="45"/>
  <c r="M182" i="45"/>
  <c r="M183" i="45"/>
  <c r="M184" i="45"/>
  <c r="M185" i="45"/>
  <c r="M186" i="45"/>
  <c r="M187" i="45"/>
  <c r="M188" i="45"/>
  <c r="M189" i="45"/>
  <c r="M190" i="45"/>
  <c r="M191" i="45"/>
  <c r="M192" i="45"/>
  <c r="M193" i="45"/>
  <c r="M194" i="45"/>
  <c r="M195" i="45"/>
  <c r="M196" i="45"/>
  <c r="M197" i="45"/>
  <c r="M198" i="45"/>
  <c r="M199" i="45"/>
  <c r="M200" i="45"/>
  <c r="M201" i="45"/>
  <c r="M202" i="45"/>
  <c r="M203" i="45"/>
  <c r="M204" i="45"/>
  <c r="M205" i="45"/>
  <c r="M206" i="45"/>
  <c r="M207" i="45"/>
  <c r="M208" i="45"/>
  <c r="M209" i="45"/>
  <c r="M210" i="45"/>
  <c r="M211" i="45"/>
  <c r="M212" i="45"/>
  <c r="M213" i="45"/>
  <c r="M214" i="45"/>
  <c r="M215" i="45"/>
  <c r="M216" i="45"/>
  <c r="M217" i="45"/>
  <c r="M218" i="45"/>
  <c r="M219" i="45"/>
  <c r="M220" i="45"/>
  <c r="M221" i="45"/>
  <c r="M222" i="45"/>
  <c r="M223" i="45"/>
  <c r="M224" i="45"/>
  <c r="M225" i="45"/>
  <c r="M226" i="45"/>
  <c r="M227" i="45"/>
  <c r="M228" i="45"/>
  <c r="M229" i="45"/>
  <c r="M230" i="45"/>
  <c r="M231" i="45"/>
  <c r="M232" i="45"/>
  <c r="M233" i="45"/>
  <c r="M234" i="45"/>
  <c r="M235" i="45"/>
  <c r="M236" i="45"/>
  <c r="M237" i="45"/>
  <c r="M238" i="45"/>
  <c r="M239" i="45"/>
  <c r="M240" i="45"/>
  <c r="M241" i="45"/>
  <c r="M242" i="45"/>
  <c r="M243" i="45"/>
  <c r="M244" i="45"/>
  <c r="M245" i="45"/>
  <c r="M246" i="45"/>
  <c r="M247" i="45"/>
  <c r="M248" i="45"/>
  <c r="M249" i="45"/>
  <c r="M250" i="45"/>
  <c r="M251" i="45"/>
  <c r="M252" i="45"/>
  <c r="M253" i="45"/>
  <c r="M254" i="45"/>
  <c r="M255" i="45"/>
  <c r="M256" i="45"/>
  <c r="M257" i="45"/>
  <c r="M258" i="45"/>
  <c r="M259" i="45"/>
  <c r="M260" i="45"/>
  <c r="M261" i="45"/>
  <c r="M262" i="45"/>
  <c r="M263" i="45"/>
  <c r="M264" i="45"/>
  <c r="M265" i="45"/>
  <c r="M266" i="45"/>
  <c r="M267" i="45"/>
  <c r="M268" i="45"/>
  <c r="M269" i="45"/>
  <c r="M270" i="45"/>
  <c r="M271" i="45"/>
  <c r="M272" i="45"/>
  <c r="M273" i="45"/>
  <c r="M274" i="45"/>
  <c r="M275" i="45"/>
  <c r="M276" i="45"/>
  <c r="M277" i="45"/>
  <c r="M278" i="45"/>
  <c r="M279" i="45"/>
  <c r="M280" i="45"/>
  <c r="M281" i="45"/>
  <c r="M282" i="45"/>
  <c r="M283" i="45"/>
  <c r="M284" i="45"/>
  <c r="M285" i="45"/>
  <c r="M286" i="45"/>
  <c r="M287" i="45"/>
  <c r="M288" i="45"/>
  <c r="M289" i="45"/>
  <c r="M290" i="45"/>
  <c r="M291" i="45"/>
  <c r="M292" i="45"/>
  <c r="M293" i="45"/>
  <c r="M294" i="45"/>
  <c r="M295" i="45"/>
  <c r="M296" i="45"/>
  <c r="M297" i="45"/>
  <c r="M298" i="45"/>
  <c r="M299" i="45"/>
  <c r="M300" i="45"/>
  <c r="M301" i="45"/>
  <c r="M302" i="45"/>
  <c r="M303" i="45"/>
  <c r="M304" i="45"/>
  <c r="M305" i="45"/>
  <c r="M306" i="45"/>
  <c r="M307" i="45"/>
  <c r="M308" i="45"/>
  <c r="M309" i="45"/>
  <c r="M310" i="45"/>
  <c r="M311" i="45"/>
  <c r="M312" i="45"/>
  <c r="M313" i="45"/>
  <c r="M314" i="45"/>
  <c r="M315" i="45"/>
  <c r="M316" i="45"/>
  <c r="M317" i="45"/>
  <c r="M318" i="45"/>
  <c r="M319" i="45"/>
  <c r="M320" i="45"/>
  <c r="M321" i="45"/>
  <c r="M322" i="45"/>
  <c r="M323" i="45"/>
  <c r="M324" i="45"/>
  <c r="M325" i="45"/>
  <c r="M326" i="45"/>
  <c r="M327" i="45"/>
  <c r="M328" i="45"/>
  <c r="M329" i="45"/>
  <c r="M330" i="45"/>
  <c r="M331" i="45"/>
  <c r="M332" i="45"/>
  <c r="M333" i="45"/>
  <c r="M334" i="45"/>
  <c r="M335" i="45"/>
  <c r="M336" i="45"/>
  <c r="M337" i="45"/>
  <c r="M338" i="45"/>
  <c r="M339" i="45"/>
  <c r="M340" i="45"/>
  <c r="M341" i="45"/>
  <c r="M342" i="45"/>
  <c r="M343" i="45"/>
  <c r="M344" i="45"/>
  <c r="M345" i="45"/>
  <c r="M346" i="45"/>
  <c r="M347" i="45"/>
  <c r="M348" i="45"/>
  <c r="M349" i="45"/>
  <c r="M350" i="45"/>
  <c r="M351" i="45"/>
  <c r="M352" i="45"/>
  <c r="M353" i="45"/>
  <c r="M354" i="45"/>
  <c r="M355" i="45"/>
  <c r="M356" i="45"/>
  <c r="M357" i="45"/>
  <c r="M358" i="45"/>
  <c r="M359" i="45"/>
  <c r="M360" i="45"/>
  <c r="M361" i="45"/>
  <c r="M362" i="45"/>
  <c r="M363" i="45"/>
  <c r="M364" i="45"/>
  <c r="M365" i="45"/>
  <c r="M366" i="45"/>
  <c r="M367" i="45"/>
  <c r="M368" i="45"/>
  <c r="M369" i="45"/>
  <c r="M370" i="45"/>
  <c r="M371" i="45"/>
  <c r="M372" i="45"/>
  <c r="M373" i="45"/>
  <c r="M374" i="45"/>
  <c r="M375" i="45"/>
  <c r="M376" i="45"/>
  <c r="M377" i="45"/>
  <c r="M378" i="45"/>
  <c r="M379" i="45"/>
  <c r="M380" i="45"/>
  <c r="M381" i="45"/>
  <c r="M382" i="45"/>
  <c r="M383" i="45"/>
  <c r="M384" i="45"/>
  <c r="M385" i="45"/>
  <c r="M386" i="45"/>
  <c r="M387" i="45"/>
  <c r="M388" i="45"/>
  <c r="M389" i="45"/>
  <c r="M390" i="45"/>
  <c r="M391" i="45"/>
  <c r="M392" i="45"/>
  <c r="M393" i="45"/>
  <c r="M394" i="45"/>
  <c r="M395" i="45"/>
  <c r="M396" i="45"/>
  <c r="M397" i="45"/>
  <c r="M398" i="45"/>
  <c r="M399" i="45"/>
  <c r="M400" i="45"/>
  <c r="M401" i="45"/>
  <c r="M402" i="45"/>
  <c r="M403" i="45"/>
  <c r="M404" i="45"/>
  <c r="M405" i="45"/>
  <c r="M406" i="45"/>
  <c r="M407" i="45"/>
  <c r="M408" i="45"/>
  <c r="M409" i="45"/>
  <c r="M410" i="45"/>
  <c r="M411" i="45"/>
  <c r="M412" i="45"/>
  <c r="M413" i="45"/>
  <c r="M414" i="45"/>
  <c r="M415" i="45"/>
  <c r="M416" i="45"/>
  <c r="M417" i="45"/>
  <c r="M418" i="45"/>
  <c r="M419" i="45"/>
  <c r="M420" i="45"/>
  <c r="M421" i="45"/>
  <c r="M422" i="45"/>
  <c r="M423" i="45"/>
  <c r="M424" i="45"/>
  <c r="M425" i="45"/>
  <c r="M426" i="45"/>
  <c r="M427" i="45"/>
  <c r="M428" i="45"/>
  <c r="M429" i="45"/>
  <c r="M430" i="45"/>
  <c r="M431" i="45"/>
  <c r="M432" i="45"/>
  <c r="M433" i="45"/>
  <c r="M434" i="45"/>
  <c r="M435" i="45"/>
  <c r="M436" i="45"/>
  <c r="M437" i="45"/>
  <c r="M438" i="45"/>
  <c r="M439" i="45"/>
  <c r="M440" i="45"/>
  <c r="M441" i="45"/>
  <c r="M442" i="45"/>
  <c r="M443" i="45"/>
  <c r="M444" i="45"/>
  <c r="M445" i="45"/>
  <c r="M446" i="45"/>
  <c r="M447" i="45"/>
  <c r="M448" i="45"/>
  <c r="K8" i="45"/>
  <c r="K14" i="45"/>
  <c r="K16" i="45"/>
  <c r="K22" i="45"/>
  <c r="K24" i="45"/>
  <c r="K29" i="45"/>
  <c r="K30" i="45"/>
  <c r="K31" i="45"/>
  <c r="K36" i="45"/>
  <c r="K38" i="45"/>
  <c r="K39" i="45"/>
  <c r="K40" i="45"/>
  <c r="K44" i="45"/>
  <c r="K46" i="45"/>
  <c r="K52" i="45"/>
  <c r="K55" i="45"/>
  <c r="K62" i="45"/>
  <c r="K64" i="45"/>
  <c r="K66" i="45"/>
  <c r="K67" i="45"/>
  <c r="K68" i="45"/>
  <c r="K69" i="45"/>
  <c r="K75" i="45"/>
  <c r="K77" i="45"/>
  <c r="K78" i="45"/>
  <c r="K80" i="45"/>
  <c r="K81" i="45"/>
  <c r="K82" i="45"/>
  <c r="K84" i="45"/>
  <c r="K89" i="45"/>
  <c r="K91" i="45"/>
  <c r="K92" i="45"/>
  <c r="K93" i="45"/>
  <c r="K94" i="45"/>
  <c r="K95" i="45"/>
  <c r="K97" i="45"/>
  <c r="K98" i="45"/>
  <c r="K99" i="45"/>
  <c r="K105" i="45"/>
  <c r="K109" i="45"/>
  <c r="K110" i="45"/>
  <c r="K112" i="45"/>
  <c r="K113" i="45"/>
  <c r="K118" i="45"/>
  <c r="K119" i="45"/>
  <c r="K120" i="45"/>
  <c r="K121" i="45"/>
  <c r="K124" i="45"/>
  <c r="K125" i="45"/>
  <c r="K126" i="45"/>
  <c r="K128" i="45"/>
  <c r="K129" i="45"/>
  <c r="K130" i="45"/>
  <c r="K132" i="45"/>
  <c r="K133" i="45"/>
  <c r="K136" i="45"/>
  <c r="K141" i="45"/>
  <c r="K142" i="45"/>
  <c r="K144" i="45"/>
  <c r="K145" i="45"/>
  <c r="K146" i="45"/>
  <c r="K147" i="45"/>
  <c r="K148" i="45"/>
  <c r="K151" i="45"/>
  <c r="K152" i="45"/>
  <c r="K153" i="45"/>
  <c r="K155" i="45"/>
  <c r="K159" i="45"/>
  <c r="K162" i="45"/>
  <c r="K168" i="45"/>
  <c r="K172" i="45"/>
  <c r="K173" i="45"/>
  <c r="K174" i="45"/>
  <c r="K175" i="45"/>
  <c r="K176" i="45"/>
  <c r="K178" i="45"/>
  <c r="K179" i="45"/>
  <c r="K180" i="45"/>
  <c r="K183" i="45"/>
  <c r="K187" i="45"/>
  <c r="K188" i="45"/>
  <c r="K192" i="45"/>
  <c r="K194" i="45"/>
  <c r="K197" i="45"/>
  <c r="K200" i="45"/>
  <c r="K201" i="45"/>
  <c r="K203" i="45"/>
  <c r="K204" i="45"/>
  <c r="K207" i="45"/>
  <c r="K209" i="45"/>
  <c r="K219" i="45"/>
  <c r="K221" i="45"/>
  <c r="K225" i="45"/>
  <c r="K226" i="45"/>
  <c r="K230" i="45"/>
  <c r="K242" i="45"/>
  <c r="K245" i="45"/>
  <c r="K246" i="45"/>
  <c r="K248" i="45"/>
  <c r="K251" i="45"/>
  <c r="K252" i="45"/>
  <c r="K254" i="45"/>
  <c r="K259" i="45"/>
  <c r="K260" i="45"/>
  <c r="K263" i="45"/>
  <c r="K264" i="45"/>
  <c r="K267" i="45"/>
  <c r="K268" i="45"/>
  <c r="K271" i="45"/>
  <c r="K272" i="45"/>
  <c r="K273" i="45"/>
  <c r="K276" i="45"/>
  <c r="K283" i="45"/>
  <c r="K284" i="45"/>
  <c r="K286" i="45"/>
  <c r="K287" i="45"/>
  <c r="K292" i="45"/>
  <c r="K293" i="45"/>
  <c r="K294" i="45"/>
  <c r="K297" i="45"/>
  <c r="K298" i="45"/>
  <c r="K299" i="45"/>
  <c r="K300" i="45"/>
  <c r="K301" i="45"/>
  <c r="K302" i="45"/>
  <c r="K305" i="45"/>
  <c r="K308" i="45"/>
  <c r="K310" i="45"/>
  <c r="K311" i="45"/>
  <c r="K312" i="45"/>
  <c r="K314" i="45"/>
  <c r="K316" i="45"/>
  <c r="K318" i="45"/>
  <c r="K324" i="45"/>
  <c r="K327" i="45"/>
  <c r="K328" i="45"/>
  <c r="K331" i="45"/>
  <c r="K335" i="45"/>
  <c r="K337" i="45"/>
  <c r="K340" i="45"/>
  <c r="K341" i="45"/>
  <c r="K347" i="45"/>
  <c r="K349" i="45"/>
  <c r="K351" i="45"/>
  <c r="K352" i="45"/>
  <c r="K353" i="45"/>
  <c r="K354" i="45"/>
  <c r="K357" i="45"/>
  <c r="K360" i="45"/>
  <c r="K362" i="45"/>
  <c r="K371" i="45"/>
  <c r="K379" i="45"/>
  <c r="K381" i="45"/>
  <c r="K383" i="45"/>
  <c r="K387" i="45"/>
  <c r="K391" i="45"/>
  <c r="K392" i="45"/>
  <c r="K394" i="45"/>
  <c r="K395" i="45"/>
  <c r="K396" i="45"/>
  <c r="K397" i="45"/>
  <c r="K400" i="45"/>
  <c r="K407" i="45"/>
  <c r="K409" i="45"/>
  <c r="K410" i="45"/>
  <c r="K415" i="45"/>
  <c r="K417" i="45"/>
  <c r="K418" i="45"/>
  <c r="K419" i="45"/>
  <c r="K420" i="45"/>
  <c r="K421" i="45"/>
  <c r="K423" i="45"/>
  <c r="K424" i="45"/>
  <c r="K431" i="45"/>
  <c r="K433" i="45"/>
  <c r="K435" i="45"/>
  <c r="K437" i="45"/>
  <c r="K442" i="45"/>
  <c r="K446" i="45"/>
  <c r="K448" i="45"/>
  <c r="N302" i="45"/>
  <c r="L450" i="45" l="1"/>
  <c r="I25" i="46"/>
  <c r="O61" i="47"/>
  <c r="S61" i="47" s="1"/>
  <c r="T61" i="47" s="1"/>
  <c r="I12" i="46"/>
  <c r="H12" i="46"/>
  <c r="N162" i="45"/>
  <c r="H45" i="53"/>
  <c r="J17" i="42"/>
  <c r="I26" i="44"/>
  <c r="L29" i="28" l="1"/>
  <c r="M29" i="28"/>
  <c r="L14" i="28"/>
  <c r="M14" i="28"/>
  <c r="M19" i="28"/>
  <c r="L19" i="28"/>
  <c r="M12" i="28"/>
  <c r="L12" i="28"/>
  <c r="O12" i="28" s="1"/>
  <c r="P12" i="28" s="1"/>
  <c r="T12" i="28" s="1"/>
  <c r="U12" i="28" s="1"/>
  <c r="J13" i="44"/>
  <c r="I19" i="44"/>
  <c r="J19" i="44"/>
  <c r="H19" i="44"/>
  <c r="N29" i="47"/>
  <c r="O29" i="47" s="1"/>
  <c r="S29" i="47" s="1"/>
  <c r="T29" i="47" s="1"/>
  <c r="N54" i="47"/>
  <c r="O54" i="47" s="1"/>
  <c r="S54" i="47" s="1"/>
  <c r="T54" i="47" s="1"/>
  <c r="O29" i="28" l="1"/>
  <c r="P29" i="28" s="1"/>
  <c r="T29" i="28" s="1"/>
  <c r="U29" i="28" s="1"/>
  <c r="O19" i="28"/>
  <c r="P19" i="28" s="1"/>
  <c r="T19" i="28" s="1"/>
  <c r="U19" i="28" s="1"/>
  <c r="O14" i="28"/>
  <c r="P14" i="28" s="1"/>
  <c r="T14" i="28" s="1"/>
  <c r="U14" i="28" s="1"/>
  <c r="N101" i="20" l="1"/>
  <c r="R101" i="20"/>
  <c r="S101" i="20"/>
  <c r="L50" i="20"/>
  <c r="M50" i="20"/>
  <c r="O50" i="20"/>
  <c r="P50" i="20" s="1"/>
  <c r="Q50" i="20"/>
  <c r="L49" i="20"/>
  <c r="L68" i="20"/>
  <c r="O68" i="20" s="1"/>
  <c r="M68" i="20"/>
  <c r="L95" i="20"/>
  <c r="M95" i="20"/>
  <c r="Q95" i="20"/>
  <c r="L96" i="20"/>
  <c r="M96" i="20"/>
  <c r="Q96" i="20"/>
  <c r="L90" i="20"/>
  <c r="M90" i="20"/>
  <c r="Q90" i="20"/>
  <c r="L82" i="20"/>
  <c r="M82" i="20"/>
  <c r="Q82" i="20"/>
  <c r="L81" i="20"/>
  <c r="M81" i="20"/>
  <c r="Q81" i="20"/>
  <c r="L74" i="20"/>
  <c r="M74" i="20"/>
  <c r="Q74" i="20"/>
  <c r="L65" i="20"/>
  <c r="M65" i="20"/>
  <c r="L58" i="20"/>
  <c r="M58" i="20"/>
  <c r="L55" i="20"/>
  <c r="Q55" i="20"/>
  <c r="M49" i="20"/>
  <c r="Q49" i="20"/>
  <c r="L44" i="20"/>
  <c r="M44" i="20"/>
  <c r="Q44" i="20"/>
  <c r="L39" i="20"/>
  <c r="M39" i="20"/>
  <c r="Q39" i="20"/>
  <c r="L26" i="20"/>
  <c r="M26" i="20"/>
  <c r="Q26" i="20"/>
  <c r="L25" i="20"/>
  <c r="M25" i="20"/>
  <c r="Q25" i="20"/>
  <c r="L9" i="20"/>
  <c r="M9" i="20"/>
  <c r="Q9" i="20"/>
  <c r="L7" i="20"/>
  <c r="M7" i="20"/>
  <c r="Q7" i="20"/>
  <c r="L91" i="20"/>
  <c r="M91" i="20"/>
  <c r="L23" i="20"/>
  <c r="M23" i="20"/>
  <c r="Q23" i="20"/>
  <c r="L64" i="20"/>
  <c r="M64" i="20"/>
  <c r="L67" i="20"/>
  <c r="M67" i="20"/>
  <c r="L31" i="20"/>
  <c r="M31" i="20"/>
  <c r="Q31" i="20"/>
  <c r="L76" i="20"/>
  <c r="M76" i="20"/>
  <c r="L27" i="20"/>
  <c r="M27" i="20"/>
  <c r="Q27" i="20"/>
  <c r="L84" i="20"/>
  <c r="M84" i="20"/>
  <c r="Q84" i="20"/>
  <c r="L70" i="20"/>
  <c r="M70" i="20"/>
  <c r="Q70" i="20"/>
  <c r="I17" i="42"/>
  <c r="H17" i="42"/>
  <c r="I10" i="43"/>
  <c r="J10" i="43"/>
  <c r="H10" i="43"/>
  <c r="J13" i="53"/>
  <c r="I13" i="53"/>
  <c r="H43" i="53"/>
  <c r="L15" i="52"/>
  <c r="M15" i="52"/>
  <c r="N15" i="52"/>
  <c r="R15" i="52"/>
  <c r="S15" i="52"/>
  <c r="K15" i="52"/>
  <c r="Q12" i="52"/>
  <c r="Q10" i="52"/>
  <c r="Q11" i="52"/>
  <c r="Q13" i="52"/>
  <c r="Q9" i="52"/>
  <c r="Q8" i="52"/>
  <c r="I25" i="53"/>
  <c r="H40" i="53" s="1"/>
  <c r="J18" i="53"/>
  <c r="H39" i="53" s="1"/>
  <c r="Q15" i="52" l="1"/>
  <c r="T50" i="20"/>
  <c r="U50" i="20" s="1"/>
  <c r="P68" i="20"/>
  <c r="T68" i="20" s="1"/>
  <c r="U68" i="20" s="1"/>
  <c r="H41" i="53"/>
  <c r="O95" i="20"/>
  <c r="O96" i="20"/>
  <c r="O81" i="20"/>
  <c r="P81" i="20" s="1"/>
  <c r="O82" i="20"/>
  <c r="O90" i="20"/>
  <c r="P90" i="20" s="1"/>
  <c r="T90" i="20" s="1"/>
  <c r="U90" i="20" s="1"/>
  <c r="T81" i="20"/>
  <c r="U81" i="20" s="1"/>
  <c r="O74" i="20"/>
  <c r="O65" i="20"/>
  <c r="O44" i="20"/>
  <c r="O58" i="20"/>
  <c r="O49" i="20"/>
  <c r="O39" i="20"/>
  <c r="O26" i="20"/>
  <c r="O25" i="20"/>
  <c r="O7" i="20"/>
  <c r="P7" i="20" s="1"/>
  <c r="T7" i="20" s="1"/>
  <c r="U7" i="20" s="1"/>
  <c r="O9" i="20"/>
  <c r="O91" i="20"/>
  <c r="O23" i="20"/>
  <c r="O64" i="20"/>
  <c r="O76" i="20"/>
  <c r="O31" i="20"/>
  <c r="O67" i="20"/>
  <c r="O27" i="20"/>
  <c r="O84" i="20"/>
  <c r="O70" i="20"/>
  <c r="L12" i="52"/>
  <c r="M12" i="52"/>
  <c r="L10" i="52"/>
  <c r="M10" i="52"/>
  <c r="L11" i="52"/>
  <c r="M11" i="52"/>
  <c r="L13" i="52"/>
  <c r="M13" i="52"/>
  <c r="L9" i="52"/>
  <c r="M9" i="52"/>
  <c r="M8" i="52"/>
  <c r="L8" i="52"/>
  <c r="I11" i="42"/>
  <c r="J11" i="42"/>
  <c r="H11" i="42"/>
  <c r="O425" i="45"/>
  <c r="X425" i="45" s="1"/>
  <c r="Y425" i="45" s="1"/>
  <c r="O339" i="45"/>
  <c r="X339" i="45" s="1"/>
  <c r="Y339" i="45" s="1"/>
  <c r="Q376" i="45"/>
  <c r="Q438" i="45"/>
  <c r="Q439" i="45"/>
  <c r="Q291" i="45"/>
  <c r="P23" i="20" l="1"/>
  <c r="T23" i="20" s="1"/>
  <c r="U23" i="20" s="1"/>
  <c r="P70" i="20"/>
  <c r="T70" i="20" s="1"/>
  <c r="U70" i="20" s="1"/>
  <c r="P64" i="20"/>
  <c r="T64" i="20" s="1"/>
  <c r="U64" i="20" s="1"/>
  <c r="P74" i="20"/>
  <c r="T74" i="20" s="1"/>
  <c r="U74" i="20" s="1"/>
  <c r="P91" i="20"/>
  <c r="T91" i="20" s="1"/>
  <c r="U91" i="20" s="1"/>
  <c r="P9" i="20"/>
  <c r="T9" i="20" s="1"/>
  <c r="U9" i="20" s="1"/>
  <c r="P25" i="20"/>
  <c r="T25" i="20" s="1"/>
  <c r="U25" i="20" s="1"/>
  <c r="P95" i="20"/>
  <c r="T95" i="20" s="1"/>
  <c r="U95" i="20" s="1"/>
  <c r="P39" i="20"/>
  <c r="T39" i="20" s="1"/>
  <c r="U39" i="20" s="1"/>
  <c r="P49" i="20"/>
  <c r="T49" i="20" s="1"/>
  <c r="U49" i="20" s="1"/>
  <c r="P67" i="20"/>
  <c r="T67" i="20" s="1"/>
  <c r="U67" i="20" s="1"/>
  <c r="P55" i="20"/>
  <c r="T55" i="20" s="1"/>
  <c r="U55" i="20" s="1"/>
  <c r="P82" i="20"/>
  <c r="T82" i="20" s="1"/>
  <c r="U82" i="20" s="1"/>
  <c r="P96" i="20"/>
  <c r="T96" i="20" s="1"/>
  <c r="U96" i="20" s="1"/>
  <c r="P58" i="20"/>
  <c r="T58" i="20" s="1"/>
  <c r="U58" i="20" s="1"/>
  <c r="P65" i="20"/>
  <c r="T65" i="20" s="1"/>
  <c r="U65" i="20" s="1"/>
  <c r="P26" i="20"/>
  <c r="T26" i="20" s="1"/>
  <c r="U26" i="20" s="1"/>
  <c r="P84" i="20"/>
  <c r="T84" i="20" s="1"/>
  <c r="U84" i="20" s="1"/>
  <c r="P27" i="20"/>
  <c r="T27" i="20" s="1"/>
  <c r="U27" i="20" s="1"/>
  <c r="P31" i="20"/>
  <c r="T31" i="20" s="1"/>
  <c r="U31" i="20" s="1"/>
  <c r="P76" i="20"/>
  <c r="T76" i="20" s="1"/>
  <c r="U76" i="20" s="1"/>
  <c r="P44" i="20"/>
  <c r="T44" i="20" s="1"/>
  <c r="U44" i="20" s="1"/>
  <c r="O422" i="45"/>
  <c r="X422" i="45" s="1"/>
  <c r="Y422" i="45" s="1"/>
  <c r="O154" i="45"/>
  <c r="X154" i="45" s="1"/>
  <c r="Y154" i="45" s="1"/>
  <c r="O227" i="45"/>
  <c r="X227" i="45" s="1"/>
  <c r="Y227" i="45" s="1"/>
  <c r="O47" i="45"/>
  <c r="X47" i="45" s="1"/>
  <c r="Y47" i="45" s="1"/>
  <c r="O236" i="45"/>
  <c r="X236" i="45" s="1"/>
  <c r="Y236" i="45" s="1"/>
  <c r="O376" i="45"/>
  <c r="X376" i="45" s="1"/>
  <c r="Y376" i="45" s="1"/>
  <c r="O216" i="45"/>
  <c r="X216" i="45" s="1"/>
  <c r="Y216" i="45" s="1"/>
  <c r="O34" i="45"/>
  <c r="X34" i="45" s="1"/>
  <c r="Y34" i="45" s="1"/>
  <c r="O205" i="45"/>
  <c r="X205" i="45" s="1"/>
  <c r="Y205" i="45" s="1"/>
  <c r="O439" i="45"/>
  <c r="X439" i="45" s="1"/>
  <c r="Y439" i="45" s="1"/>
  <c r="O108" i="45"/>
  <c r="X108" i="45" s="1"/>
  <c r="Y108" i="45" s="1"/>
  <c r="O334" i="45"/>
  <c r="X334" i="45" s="1"/>
  <c r="Y334" i="45" s="1"/>
  <c r="O438" i="45"/>
  <c r="X438" i="45" s="1"/>
  <c r="Y438" i="45" s="1"/>
  <c r="O103" i="45"/>
  <c r="X103" i="45" s="1"/>
  <c r="Y103" i="45" s="1"/>
  <c r="O291" i="45"/>
  <c r="X291" i="45" s="1"/>
  <c r="Y291" i="45" s="1"/>
  <c r="J25" i="42" l="1"/>
  <c r="I25" i="42"/>
  <c r="N257" i="45" l="1"/>
  <c r="Q20" i="20" l="1"/>
  <c r="M20" i="20"/>
  <c r="L20" i="20"/>
  <c r="Q19" i="20"/>
  <c r="M19" i="20"/>
  <c r="L19" i="20"/>
  <c r="Q16" i="20"/>
  <c r="M16" i="20"/>
  <c r="L16" i="20"/>
  <c r="Q15" i="20"/>
  <c r="M15" i="20"/>
  <c r="L15" i="20"/>
  <c r="Q12" i="20"/>
  <c r="M12" i="20"/>
  <c r="L12" i="20"/>
  <c r="Q11" i="20"/>
  <c r="M11" i="20"/>
  <c r="L11" i="20"/>
  <c r="O19" i="20" l="1"/>
  <c r="O20" i="20"/>
  <c r="O16" i="20"/>
  <c r="O15" i="20"/>
  <c r="O11" i="20"/>
  <c r="O12" i="20"/>
  <c r="P12" i="20" l="1"/>
  <c r="T12" i="20" s="1"/>
  <c r="U12" i="20" s="1"/>
  <c r="P11" i="20"/>
  <c r="T11" i="20" s="1"/>
  <c r="U11" i="20" s="1"/>
  <c r="P15" i="20"/>
  <c r="T15" i="20" s="1"/>
  <c r="U15" i="20" s="1"/>
  <c r="P16" i="20"/>
  <c r="T16" i="20" s="1"/>
  <c r="U16" i="20" s="1"/>
  <c r="P20" i="20"/>
  <c r="T20" i="20" s="1"/>
  <c r="U20" i="20" s="1"/>
  <c r="P19" i="20"/>
  <c r="T19" i="20" s="1"/>
  <c r="U19" i="20" s="1"/>
  <c r="T41" i="47"/>
  <c r="N41" i="47"/>
  <c r="O41" i="47" s="1"/>
  <c r="Q369" i="45"/>
  <c r="B37" i="42"/>
  <c r="O369" i="45" l="1"/>
  <c r="X369" i="45" l="1"/>
  <c r="Y369" i="45" s="1"/>
  <c r="J18" i="46"/>
  <c r="N42" i="47"/>
  <c r="O42" i="47" s="1"/>
  <c r="S42" i="47" s="1"/>
  <c r="T42" i="47" s="1"/>
  <c r="N12" i="47"/>
  <c r="O12" i="47" s="1"/>
  <c r="S12" i="47" s="1"/>
  <c r="T12" i="47" s="1"/>
  <c r="N40" i="47"/>
  <c r="O40" i="47" s="1"/>
  <c r="S40" i="47" s="1"/>
  <c r="T40" i="47" s="1"/>
  <c r="N68" i="47"/>
  <c r="O68" i="47" s="1"/>
  <c r="S68" i="47" s="1"/>
  <c r="T68" i="47" s="1"/>
  <c r="H18" i="46"/>
  <c r="I18" i="46"/>
  <c r="M63" i="20"/>
  <c r="L63" i="20"/>
  <c r="Q54" i="20"/>
  <c r="M54" i="20"/>
  <c r="L54" i="20"/>
  <c r="Q83" i="20"/>
  <c r="M83" i="20"/>
  <c r="L83" i="20"/>
  <c r="Q32" i="20"/>
  <c r="M32" i="20"/>
  <c r="L32" i="20"/>
  <c r="Q22" i="20"/>
  <c r="M22" i="20"/>
  <c r="L22" i="20"/>
  <c r="Q51" i="20"/>
  <c r="M51" i="20"/>
  <c r="L51" i="20"/>
  <c r="M13" i="20"/>
  <c r="L13" i="20"/>
  <c r="Q80" i="20"/>
  <c r="M80" i="20"/>
  <c r="L80" i="20"/>
  <c r="Q83" i="45"/>
  <c r="Q117" i="45"/>
  <c r="Q118" i="45"/>
  <c r="Q281" i="45"/>
  <c r="Q171" i="45"/>
  <c r="Q100" i="45"/>
  <c r="N311" i="45"/>
  <c r="R450" i="45"/>
  <c r="S450" i="45"/>
  <c r="T450" i="45"/>
  <c r="U450" i="45"/>
  <c r="V450" i="45"/>
  <c r="W450" i="45"/>
  <c r="O83" i="20" l="1"/>
  <c r="O63" i="20"/>
  <c r="O117" i="45"/>
  <c r="X117" i="45" s="1"/>
  <c r="Y117" i="45" s="1"/>
  <c r="O51" i="45"/>
  <c r="X51" i="45" s="1"/>
  <c r="Y51" i="45" s="1"/>
  <c r="O83" i="45"/>
  <c r="X83" i="45" s="1"/>
  <c r="Y83" i="45" s="1"/>
  <c r="O32" i="20"/>
  <c r="O54" i="20"/>
  <c r="O13" i="20"/>
  <c r="O80" i="20"/>
  <c r="O51" i="20"/>
  <c r="O22" i="20"/>
  <c r="O281" i="45"/>
  <c r="X281" i="45" s="1"/>
  <c r="Y281" i="45" s="1"/>
  <c r="X87" i="45"/>
  <c r="Y87" i="45" s="1"/>
  <c r="O88" i="45"/>
  <c r="X88" i="45" s="1"/>
  <c r="Y88" i="45" s="1"/>
  <c r="O171" i="45"/>
  <c r="X171" i="45" s="1"/>
  <c r="Y171" i="45" s="1"/>
  <c r="O100" i="45"/>
  <c r="X100" i="45" s="1"/>
  <c r="Y100" i="45" s="1"/>
  <c r="F455" i="45"/>
  <c r="P54" i="20" l="1"/>
  <c r="T54" i="20" s="1"/>
  <c r="U54" i="20" s="1"/>
  <c r="P13" i="20"/>
  <c r="T13" i="20" s="1"/>
  <c r="U13" i="20" s="1"/>
  <c r="P22" i="20"/>
  <c r="T22" i="20" s="1"/>
  <c r="U22" i="20" s="1"/>
  <c r="P51" i="20"/>
  <c r="T51" i="20" s="1"/>
  <c r="U51" i="20" s="1"/>
  <c r="P80" i="20"/>
  <c r="T80" i="20" s="1"/>
  <c r="U80" i="20" s="1"/>
  <c r="P32" i="20"/>
  <c r="T32" i="20" s="1"/>
  <c r="U32" i="20" s="1"/>
  <c r="P63" i="20"/>
  <c r="T63" i="20" s="1"/>
  <c r="U63" i="20" s="1"/>
  <c r="P83" i="20"/>
  <c r="T83" i="20" s="1"/>
  <c r="U83" i="20" s="1"/>
  <c r="Q131" i="45"/>
  <c r="Q30" i="45"/>
  <c r="Q35" i="45"/>
  <c r="Q436" i="45"/>
  <c r="Q437" i="45"/>
  <c r="Q266" i="45"/>
  <c r="Q257" i="45"/>
  <c r="Q41" i="45"/>
  <c r="O436" i="45" l="1"/>
  <c r="X436" i="45" s="1"/>
  <c r="O279" i="45"/>
  <c r="O131" i="45"/>
  <c r="O266" i="45"/>
  <c r="X266" i="45" s="1"/>
  <c r="Y266" i="45" s="1"/>
  <c r="O257" i="45"/>
  <c r="O35" i="45"/>
  <c r="X35" i="45" s="1"/>
  <c r="Y35" i="45" s="1"/>
  <c r="O41" i="45"/>
  <c r="O137" i="45"/>
  <c r="N58" i="47"/>
  <c r="O58" i="47" s="1"/>
  <c r="S58" i="47" s="1"/>
  <c r="T58" i="47" s="1"/>
  <c r="N48" i="47"/>
  <c r="O48" i="47" s="1"/>
  <c r="S48" i="47" s="1"/>
  <c r="T48" i="47" s="1"/>
  <c r="N43" i="47"/>
  <c r="O43" i="47" s="1"/>
  <c r="N51" i="47"/>
  <c r="O51" i="47" s="1"/>
  <c r="S51" i="47" s="1"/>
  <c r="T51" i="47" s="1"/>
  <c r="N69" i="47"/>
  <c r="O69" i="47" s="1"/>
  <c r="S69" i="47" s="1"/>
  <c r="T69" i="47" s="1"/>
  <c r="O60" i="47"/>
  <c r="S60" i="47" s="1"/>
  <c r="T60" i="47" s="1"/>
  <c r="N73" i="47"/>
  <c r="O73" i="47" s="1"/>
  <c r="S73" i="47" s="1"/>
  <c r="T73" i="47" s="1"/>
  <c r="N44" i="47"/>
  <c r="O44" i="47" s="1"/>
  <c r="S44" i="47" s="1"/>
  <c r="T44" i="47" s="1"/>
  <c r="S43" i="47" l="1"/>
  <c r="T43" i="47" s="1"/>
  <c r="X41" i="45"/>
  <c r="Y41" i="45" s="1"/>
  <c r="X257" i="45"/>
  <c r="Y257" i="45" s="1"/>
  <c r="X131" i="45"/>
  <c r="Y131" i="45" s="1"/>
  <c r="X279" i="45"/>
  <c r="Y279" i="45" s="1"/>
  <c r="X137" i="45"/>
  <c r="Y137" i="45" s="1"/>
  <c r="Y436" i="45"/>
  <c r="O30" i="45"/>
  <c r="X30" i="45" l="1"/>
  <c r="Y30" i="45" s="1"/>
  <c r="N79" i="45"/>
  <c r="Q24" i="20"/>
  <c r="Q28" i="20"/>
  <c r="Q29" i="20"/>
  <c r="Q30" i="20"/>
  <c r="Q33" i="20"/>
  <c r="L30" i="20"/>
  <c r="M30" i="20"/>
  <c r="L33" i="20"/>
  <c r="M33" i="20"/>
  <c r="O30" i="20" l="1"/>
  <c r="O33" i="20"/>
  <c r="J18" i="50"/>
  <c r="P33" i="20" l="1"/>
  <c r="T33" i="20" s="1"/>
  <c r="U33" i="20" s="1"/>
  <c r="P30" i="20"/>
  <c r="T30" i="20" s="1"/>
  <c r="U30" i="20" s="1"/>
  <c r="Q454" i="45"/>
  <c r="M16" i="28" l="1"/>
  <c r="L16" i="28"/>
  <c r="O16" i="28" l="1"/>
  <c r="P16" i="28" s="1"/>
  <c r="T16" i="28" s="1"/>
  <c r="U16" i="28" s="1"/>
  <c r="H36" i="46"/>
  <c r="M22" i="28"/>
  <c r="L22" i="28"/>
  <c r="M9" i="28"/>
  <c r="L9" i="28"/>
  <c r="M15" i="28"/>
  <c r="L15" i="28"/>
  <c r="O15" i="28" s="1"/>
  <c r="P15" i="28" s="1"/>
  <c r="T15" i="28" s="1"/>
  <c r="U15" i="28" s="1"/>
  <c r="M27" i="28"/>
  <c r="L27" i="28"/>
  <c r="M25" i="28"/>
  <c r="L25" i="28"/>
  <c r="K77" i="47"/>
  <c r="L77" i="47"/>
  <c r="M77" i="47"/>
  <c r="P77" i="47"/>
  <c r="Q77" i="47"/>
  <c r="R77" i="47"/>
  <c r="N39" i="47"/>
  <c r="O39" i="47" s="1"/>
  <c r="S39" i="47" s="1"/>
  <c r="T39" i="47" s="1"/>
  <c r="N22" i="47"/>
  <c r="O22" i="47" s="1"/>
  <c r="S22" i="47" s="1"/>
  <c r="T22" i="47" s="1"/>
  <c r="N34" i="47"/>
  <c r="O34" i="47" s="1"/>
  <c r="S34" i="47" s="1"/>
  <c r="T34" i="47" s="1"/>
  <c r="N47" i="47"/>
  <c r="O47" i="47" s="1"/>
  <c r="N75" i="47"/>
  <c r="O75" i="47" s="1"/>
  <c r="S75" i="47" s="1"/>
  <c r="T75" i="47" s="1"/>
  <c r="N17" i="47"/>
  <c r="O17" i="47" s="1"/>
  <c r="S17" i="47" s="1"/>
  <c r="T17" i="47" s="1"/>
  <c r="O9" i="28" l="1"/>
  <c r="P9" i="28" s="1"/>
  <c r="T9" i="28" s="1"/>
  <c r="U9" i="28" s="1"/>
  <c r="O22" i="28"/>
  <c r="P22" i="28" s="1"/>
  <c r="T22" i="28" s="1"/>
  <c r="U22" i="28" s="1"/>
  <c r="S47" i="47"/>
  <c r="T47" i="47" s="1"/>
  <c r="O25" i="28"/>
  <c r="P25" i="28" s="1"/>
  <c r="T25" i="28" s="1"/>
  <c r="U25" i="28" s="1"/>
  <c r="O27" i="28"/>
  <c r="P27" i="28" s="1"/>
  <c r="T27" i="28" s="1"/>
  <c r="U27" i="28" s="1"/>
  <c r="I18" i="43" l="1"/>
  <c r="J18" i="43"/>
  <c r="H18" i="43"/>
  <c r="M72" i="20"/>
  <c r="L72" i="20"/>
  <c r="M66" i="20"/>
  <c r="L66" i="20"/>
  <c r="M57" i="20"/>
  <c r="L57" i="20"/>
  <c r="M92" i="20"/>
  <c r="L92" i="20"/>
  <c r="M18" i="20"/>
  <c r="L18" i="20"/>
  <c r="M24" i="20"/>
  <c r="L24" i="20"/>
  <c r="M86" i="20"/>
  <c r="L86" i="20"/>
  <c r="M60" i="20"/>
  <c r="L60" i="20"/>
  <c r="M75" i="20"/>
  <c r="L75" i="20"/>
  <c r="O86" i="20" l="1"/>
  <c r="O66" i="20"/>
  <c r="O60" i="20"/>
  <c r="O72" i="20"/>
  <c r="O18" i="20"/>
  <c r="O75" i="20"/>
  <c r="O92" i="20"/>
  <c r="O24" i="20"/>
  <c r="P56" i="20"/>
  <c r="M34" i="20"/>
  <c r="L34" i="20"/>
  <c r="P57" i="20" l="1"/>
  <c r="T57" i="20" s="1"/>
  <c r="U57" i="20" s="1"/>
  <c r="P92" i="20"/>
  <c r="T92" i="20" s="1"/>
  <c r="U92" i="20" s="1"/>
  <c r="P24" i="20"/>
  <c r="T24" i="20" s="1"/>
  <c r="U24" i="20" s="1"/>
  <c r="P75" i="20"/>
  <c r="T75" i="20" s="1"/>
  <c r="U75" i="20" s="1"/>
  <c r="P18" i="20"/>
  <c r="T18" i="20" s="1"/>
  <c r="U18" i="20" s="1"/>
  <c r="P72" i="20"/>
  <c r="T72" i="20" s="1"/>
  <c r="U72" i="20" s="1"/>
  <c r="P60" i="20"/>
  <c r="T60" i="20" s="1"/>
  <c r="U60" i="20" s="1"/>
  <c r="P66" i="20"/>
  <c r="T66" i="20" s="1"/>
  <c r="U66" i="20" s="1"/>
  <c r="P86" i="20"/>
  <c r="T86" i="20" s="1"/>
  <c r="U86" i="20" s="1"/>
  <c r="O34" i="20"/>
  <c r="Q365" i="45"/>
  <c r="P101" i="20" l="1"/>
  <c r="P34" i="20"/>
  <c r="T34" i="20" s="1"/>
  <c r="U34" i="20" s="1"/>
  <c r="T56" i="20"/>
  <c r="U56" i="20" s="1"/>
  <c r="O224" i="45"/>
  <c r="O45" i="45"/>
  <c r="O232" i="45"/>
  <c r="O358" i="45"/>
  <c r="O322" i="45"/>
  <c r="O303" i="45"/>
  <c r="O365" i="45"/>
  <c r="O277" i="45"/>
  <c r="O233" i="45"/>
  <c r="O158" i="45"/>
  <c r="O237" i="45"/>
  <c r="X158" i="45" l="1"/>
  <c r="Y158" i="45" s="1"/>
  <c r="X277" i="45"/>
  <c r="Y277" i="45" s="1"/>
  <c r="X365" i="45"/>
  <c r="Y365" i="45" s="1"/>
  <c r="X322" i="45"/>
  <c r="Y322" i="45" s="1"/>
  <c r="X45" i="45"/>
  <c r="Y45" i="45" s="1"/>
  <c r="X237" i="45"/>
  <c r="Y237" i="45" s="1"/>
  <c r="X233" i="45"/>
  <c r="Y233" i="45" s="1"/>
  <c r="X303" i="45"/>
  <c r="Y303" i="45" s="1"/>
  <c r="X358" i="45"/>
  <c r="Y358" i="45" s="1"/>
  <c r="X232" i="45"/>
  <c r="Y232" i="45" s="1"/>
  <c r="X224" i="45"/>
  <c r="Y224" i="45" s="1"/>
  <c r="Q7" i="45"/>
  <c r="M7" i="45"/>
  <c r="L7" i="45"/>
  <c r="Q241" i="45"/>
  <c r="Q90" i="45"/>
  <c r="Q363" i="45"/>
  <c r="I40" i="42"/>
  <c r="O228" i="45" l="1"/>
  <c r="O393" i="45"/>
  <c r="O7" i="45"/>
  <c r="P7" i="45" s="1"/>
  <c r="X7" i="45" s="1"/>
  <c r="Y7" i="45" s="1"/>
  <c r="O104" i="45"/>
  <c r="X104" i="45" s="1"/>
  <c r="Y104" i="45" s="1"/>
  <c r="O412" i="45"/>
  <c r="O241" i="45"/>
  <c r="O338" i="45"/>
  <c r="O107" i="45"/>
  <c r="O234" i="45"/>
  <c r="O90" i="45"/>
  <c r="O444" i="45"/>
  <c r="O363" i="45"/>
  <c r="O388" i="45"/>
  <c r="O101" i="45"/>
  <c r="J26" i="43"/>
  <c r="I26" i="43"/>
  <c r="X234" i="45" l="1"/>
  <c r="Y234" i="45" s="1"/>
  <c r="X338" i="45"/>
  <c r="Y338" i="45" s="1"/>
  <c r="X388" i="45"/>
  <c r="Y388" i="45" s="1"/>
  <c r="X241" i="45"/>
  <c r="Y241" i="45" s="1"/>
  <c r="X412" i="45"/>
  <c r="Y412" i="45" s="1"/>
  <c r="X228" i="45"/>
  <c r="Y228" i="45" s="1"/>
  <c r="X107" i="45"/>
  <c r="Y107" i="45" s="1"/>
  <c r="X101" i="45"/>
  <c r="Y101" i="45" s="1"/>
  <c r="X363" i="45"/>
  <c r="Y363" i="45" s="1"/>
  <c r="X444" i="45"/>
  <c r="Y444" i="45" s="1"/>
  <c r="X393" i="45"/>
  <c r="Y393" i="45" s="1"/>
  <c r="X90" i="45"/>
  <c r="Y90" i="45" s="1"/>
  <c r="N34" i="28"/>
  <c r="Q34" i="28"/>
  <c r="Q461" i="45" s="1"/>
  <c r="R34" i="28"/>
  <c r="S34" i="28"/>
  <c r="M8" i="28"/>
  <c r="L8" i="28"/>
  <c r="O8" i="28" l="1"/>
  <c r="P8" i="28" l="1"/>
  <c r="N24" i="47"/>
  <c r="O24" i="47" s="1"/>
  <c r="S24" i="47" s="1"/>
  <c r="T24" i="47" s="1"/>
  <c r="T8" i="28" l="1"/>
  <c r="U8" i="28" l="1"/>
  <c r="Q21" i="45" l="1"/>
  <c r="O21" i="45" l="1"/>
  <c r="H39" i="50"/>
  <c r="X21" i="45" l="1"/>
  <c r="Y21" i="45" s="1"/>
  <c r="N30" i="47"/>
  <c r="O30" i="47" s="1"/>
  <c r="S30" i="47" s="1"/>
  <c r="T30" i="47" s="1"/>
  <c r="N26" i="47"/>
  <c r="O26" i="47" s="1"/>
  <c r="S26" i="47" s="1"/>
  <c r="T26" i="47" s="1"/>
  <c r="Q370" i="45" l="1"/>
  <c r="M11" i="28"/>
  <c r="L11" i="28"/>
  <c r="Q86" i="45"/>
  <c r="Q70" i="45"/>
  <c r="Q275" i="45"/>
  <c r="N38" i="47"/>
  <c r="O38" i="47" s="1"/>
  <c r="S38" i="47" s="1"/>
  <c r="T38" i="47" s="1"/>
  <c r="O11" i="28" l="1"/>
  <c r="P11" i="28" s="1"/>
  <c r="T11" i="28" s="1"/>
  <c r="U11" i="28" s="1"/>
  <c r="O70" i="45"/>
  <c r="O86" i="45"/>
  <c r="O370" i="45"/>
  <c r="O275" i="45"/>
  <c r="X86" i="45" l="1"/>
  <c r="Y86" i="45" s="1"/>
  <c r="X370" i="45"/>
  <c r="Y370" i="45" s="1"/>
  <c r="X70" i="45"/>
  <c r="Y70" i="45" s="1"/>
  <c r="X275" i="45"/>
  <c r="Y275" i="45" s="1"/>
  <c r="M23" i="28"/>
  <c r="L23" i="28"/>
  <c r="O23" i="28" l="1"/>
  <c r="P23" i="28" s="1"/>
  <c r="T23" i="28" s="1"/>
  <c r="U23" i="28" s="1"/>
  <c r="Q77" i="20"/>
  <c r="M77" i="20"/>
  <c r="L77" i="20"/>
  <c r="Q35" i="20"/>
  <c r="Q36" i="20"/>
  <c r="M35" i="20"/>
  <c r="M36" i="20"/>
  <c r="L35" i="20"/>
  <c r="L36" i="20"/>
  <c r="Q386" i="45"/>
  <c r="Q56" i="45"/>
  <c r="Q336" i="45"/>
  <c r="O35" i="20" l="1"/>
  <c r="O36" i="20"/>
  <c r="O386" i="45"/>
  <c r="O56" i="45"/>
  <c r="O389" i="45"/>
  <c r="O336" i="45"/>
  <c r="O77" i="20"/>
  <c r="P77" i="20" l="1"/>
  <c r="T77" i="20" s="1"/>
  <c r="U77" i="20" s="1"/>
  <c r="P36" i="20"/>
  <c r="T36" i="20" s="1"/>
  <c r="U36" i="20" s="1"/>
  <c r="P35" i="20"/>
  <c r="T35" i="20" s="1"/>
  <c r="U35" i="20" s="1"/>
  <c r="X389" i="45"/>
  <c r="Y389" i="45" s="1"/>
  <c r="X56" i="45"/>
  <c r="Y56" i="45" s="1"/>
  <c r="X386" i="45"/>
  <c r="Y386" i="45" s="1"/>
  <c r="X336" i="45"/>
  <c r="Y336" i="45" s="1"/>
  <c r="N196" i="45"/>
  <c r="N284" i="45"/>
  <c r="M42" i="20" l="1"/>
  <c r="L42" i="20"/>
  <c r="O42" i="20" l="1"/>
  <c r="N401" i="45"/>
  <c r="U7" i="39"/>
  <c r="L7" i="39"/>
  <c r="K7" i="39"/>
  <c r="M17" i="28"/>
  <c r="L17" i="28"/>
  <c r="N27" i="47"/>
  <c r="O27" i="47" s="1"/>
  <c r="S27" i="47" s="1"/>
  <c r="T27" i="47" s="1"/>
  <c r="N31" i="47"/>
  <c r="O31" i="47" s="1"/>
  <c r="S31" i="47" s="1"/>
  <c r="T31" i="47" s="1"/>
  <c r="P42" i="20" l="1"/>
  <c r="T42" i="20" s="1"/>
  <c r="U42" i="20" s="1"/>
  <c r="O17" i="28"/>
  <c r="P17" i="28" s="1"/>
  <c r="T17" i="28" s="1"/>
  <c r="U17" i="28" s="1"/>
  <c r="N7" i="39"/>
  <c r="O7" i="39" s="1"/>
  <c r="T7" i="39" s="1"/>
  <c r="I41" i="42" l="1"/>
  <c r="Q78" i="20" l="1"/>
  <c r="M78" i="20"/>
  <c r="L78" i="20"/>
  <c r="Q332" i="45"/>
  <c r="Q135" i="45"/>
  <c r="J77" i="47"/>
  <c r="N7" i="47"/>
  <c r="O135" i="45" l="1"/>
  <c r="O78" i="20"/>
  <c r="O332" i="45"/>
  <c r="O7" i="47"/>
  <c r="Q323" i="45"/>
  <c r="P78" i="20" l="1"/>
  <c r="T78" i="20" s="1"/>
  <c r="U78" i="20" s="1"/>
  <c r="X135" i="45"/>
  <c r="Y135" i="45" s="1"/>
  <c r="O8" i="52"/>
  <c r="X332" i="45"/>
  <c r="Y332" i="45" s="1"/>
  <c r="S7" i="47"/>
  <c r="P8" i="52" l="1"/>
  <c r="O323" i="45"/>
  <c r="T7" i="47"/>
  <c r="T8" i="52" l="1"/>
  <c r="X323" i="45"/>
  <c r="Y323" i="45" s="1"/>
  <c r="H42" i="43"/>
  <c r="Q441" i="45"/>
  <c r="Q37" i="20"/>
  <c r="M37" i="20"/>
  <c r="L37" i="20"/>
  <c r="Q88" i="20"/>
  <c r="L88" i="20"/>
  <c r="M88" i="20"/>
  <c r="Q45" i="20"/>
  <c r="M45" i="20"/>
  <c r="L45" i="20"/>
  <c r="Q265" i="45"/>
  <c r="Q267" i="45"/>
  <c r="Q18" i="45"/>
  <c r="Q143" i="45"/>
  <c r="Q127" i="45"/>
  <c r="U8" i="52" l="1"/>
  <c r="O37" i="20"/>
  <c r="O88" i="20"/>
  <c r="O441" i="45"/>
  <c r="O265" i="45"/>
  <c r="O45" i="20"/>
  <c r="O18" i="45"/>
  <c r="O143" i="45"/>
  <c r="O127" i="45"/>
  <c r="M13" i="28"/>
  <c r="M20" i="28"/>
  <c r="M21" i="28"/>
  <c r="M24" i="28"/>
  <c r="M28" i="28"/>
  <c r="M30" i="28"/>
  <c r="M31" i="28"/>
  <c r="L13" i="28"/>
  <c r="L20" i="28"/>
  <c r="L21" i="28"/>
  <c r="L24" i="28"/>
  <c r="L26" i="28"/>
  <c r="L28" i="28"/>
  <c r="L30" i="28"/>
  <c r="L31" i="28"/>
  <c r="H37" i="46"/>
  <c r="H43" i="43"/>
  <c r="P45" i="20" l="1"/>
  <c r="T45" i="20" s="1"/>
  <c r="U45" i="20" s="1"/>
  <c r="P88" i="20"/>
  <c r="T88" i="20" s="1"/>
  <c r="U88" i="20" s="1"/>
  <c r="P37" i="20"/>
  <c r="T37" i="20" s="1"/>
  <c r="U37" i="20" s="1"/>
  <c r="X265" i="45"/>
  <c r="Y265" i="45" s="1"/>
  <c r="X441" i="45"/>
  <c r="Y441" i="45" s="1"/>
  <c r="O30" i="28"/>
  <c r="P30" i="28" s="1"/>
  <c r="T30" i="28" s="1"/>
  <c r="U30" i="28" s="1"/>
  <c r="X143" i="45"/>
  <c r="Y143" i="45" s="1"/>
  <c r="X18" i="45"/>
  <c r="Y18" i="45" s="1"/>
  <c r="X127" i="45"/>
  <c r="Y127" i="45" s="1"/>
  <c r="O31" i="28"/>
  <c r="P31" i="28" s="1"/>
  <c r="T31" i="28" s="1"/>
  <c r="U31" i="28" s="1"/>
  <c r="O13" i="28"/>
  <c r="P13" i="28" s="1"/>
  <c r="T13" i="28" s="1"/>
  <c r="U13" i="28" s="1"/>
  <c r="O28" i="28"/>
  <c r="P28" i="28" s="1"/>
  <c r="T28" i="28" s="1"/>
  <c r="U28" i="28" s="1"/>
  <c r="O267" i="45"/>
  <c r="O21" i="28"/>
  <c r="P21" i="28" s="1"/>
  <c r="T21" i="28" s="1"/>
  <c r="U21" i="28" s="1"/>
  <c r="O24" i="28"/>
  <c r="P24" i="28" s="1"/>
  <c r="T24" i="28" s="1"/>
  <c r="U24" i="28" s="1"/>
  <c r="O20" i="28"/>
  <c r="P20" i="28" s="1"/>
  <c r="T20" i="28" s="1"/>
  <c r="U20" i="28" s="1"/>
  <c r="T26" i="28"/>
  <c r="U26" i="28" s="1"/>
  <c r="O26" i="28"/>
  <c r="N21" i="47"/>
  <c r="O21" i="47" s="1"/>
  <c r="S21" i="47" s="1"/>
  <c r="T21" i="47" s="1"/>
  <c r="N46" i="47"/>
  <c r="O46" i="47" s="1"/>
  <c r="S46" i="47" s="1"/>
  <c r="T46" i="47" s="1"/>
  <c r="N9" i="47"/>
  <c r="O9" i="47" s="1"/>
  <c r="S9" i="47" s="1"/>
  <c r="T9" i="47" s="1"/>
  <c r="N71" i="47"/>
  <c r="O71" i="47" s="1"/>
  <c r="S71" i="47" s="1"/>
  <c r="T71" i="47" s="1"/>
  <c r="X267" i="45" l="1"/>
  <c r="Y267" i="45" s="1"/>
  <c r="Q199" i="45"/>
  <c r="Q296" i="45"/>
  <c r="N360" i="45"/>
  <c r="N352" i="45"/>
  <c r="N246" i="45"/>
  <c r="N177" i="45"/>
  <c r="N129" i="45"/>
  <c r="N52" i="45"/>
  <c r="N15" i="45"/>
  <c r="N450" i="45" l="1"/>
  <c r="O199" i="45"/>
  <c r="O296" i="45"/>
  <c r="I42" i="42"/>
  <c r="I44" i="42" s="1"/>
  <c r="I50" i="42" s="1"/>
  <c r="Q43" i="45"/>
  <c r="X296" i="45" l="1"/>
  <c r="Y296" i="45" s="1"/>
  <c r="X199" i="45"/>
  <c r="Y199" i="45" s="1"/>
  <c r="O43" i="45"/>
  <c r="H42" i="44"/>
  <c r="Q17" i="20"/>
  <c r="M17" i="20"/>
  <c r="L17" i="20"/>
  <c r="Q262" i="45"/>
  <c r="Q58" i="45"/>
  <c r="X43" i="45" l="1"/>
  <c r="Y43" i="45" s="1"/>
  <c r="O17" i="20"/>
  <c r="P17" i="20" s="1"/>
  <c r="O262" i="45"/>
  <c r="O181" i="45"/>
  <c r="O58" i="45"/>
  <c r="X181" i="45" l="1"/>
  <c r="Y181" i="45" s="1"/>
  <c r="X58" i="45"/>
  <c r="Y58" i="45" s="1"/>
  <c r="X262" i="45"/>
  <c r="Y262" i="45" s="1"/>
  <c r="H41" i="44"/>
  <c r="H40" i="44" l="1"/>
  <c r="H43" i="44" s="1"/>
  <c r="H47" i="44" l="1"/>
  <c r="O102" i="45" l="1"/>
  <c r="X102" i="45" l="1"/>
  <c r="Y102" i="45" s="1"/>
  <c r="Q10" i="20"/>
  <c r="Q14" i="20"/>
  <c r="M10" i="20"/>
  <c r="M14" i="20"/>
  <c r="L10" i="20"/>
  <c r="L14" i="20"/>
  <c r="O10" i="20" l="1"/>
  <c r="P10" i="20" s="1"/>
  <c r="O14" i="20"/>
  <c r="P14" i="20" s="1"/>
  <c r="O191" i="45"/>
  <c r="O26" i="45"/>
  <c r="O74" i="45"/>
  <c r="X74" i="45" l="1"/>
  <c r="Y74" i="45" s="1"/>
  <c r="X26" i="45"/>
  <c r="Y26" i="45" s="1"/>
  <c r="X191" i="45"/>
  <c r="Y191" i="45" s="1"/>
  <c r="O161" i="45"/>
  <c r="O243" i="45"/>
  <c r="Q189" i="45"/>
  <c r="Q71" i="45"/>
  <c r="Q23" i="45"/>
  <c r="X243" i="45" l="1"/>
  <c r="Y243" i="45" s="1"/>
  <c r="X161" i="45"/>
  <c r="Y161" i="45" s="1"/>
  <c r="O189" i="45"/>
  <c r="O406" i="45"/>
  <c r="O182" i="45"/>
  <c r="O447" i="45"/>
  <c r="O71" i="45"/>
  <c r="O23" i="45"/>
  <c r="X182" i="45" l="1"/>
  <c r="Y182" i="45" s="1"/>
  <c r="X447" i="45"/>
  <c r="Y447" i="45" s="1"/>
  <c r="X189" i="45"/>
  <c r="Y189" i="45" s="1"/>
  <c r="X23" i="45"/>
  <c r="Y23" i="45" s="1"/>
  <c r="X71" i="45"/>
  <c r="Y71" i="45" s="1"/>
  <c r="X406" i="45"/>
  <c r="Y406" i="45" s="1"/>
  <c r="Q362" i="45"/>
  <c r="M21" i="20" l="1"/>
  <c r="M28" i="20"/>
  <c r="M29" i="20"/>
  <c r="M40" i="20"/>
  <c r="M41" i="20"/>
  <c r="M43" i="20"/>
  <c r="M46" i="20"/>
  <c r="M48" i="20"/>
  <c r="M52" i="20"/>
  <c r="M53" i="20"/>
  <c r="M59" i="20"/>
  <c r="M61" i="20"/>
  <c r="M62" i="20"/>
  <c r="M71" i="20"/>
  <c r="M73" i="20"/>
  <c r="M79" i="20"/>
  <c r="M85" i="20"/>
  <c r="M87" i="20"/>
  <c r="M89" i="20"/>
  <c r="M93" i="20"/>
  <c r="M97" i="20"/>
  <c r="L21" i="20"/>
  <c r="L28" i="20"/>
  <c r="L29" i="20"/>
  <c r="L40" i="20"/>
  <c r="L41" i="20"/>
  <c r="L43" i="20"/>
  <c r="L46" i="20"/>
  <c r="L48" i="20"/>
  <c r="L52" i="20"/>
  <c r="L53" i="20"/>
  <c r="L59" i="20"/>
  <c r="L61" i="20"/>
  <c r="L62" i="20"/>
  <c r="L71" i="20"/>
  <c r="L73" i="20"/>
  <c r="L79" i="20"/>
  <c r="L85" i="20"/>
  <c r="L87" i="20"/>
  <c r="L89" i="20"/>
  <c r="L93" i="20"/>
  <c r="L97" i="20"/>
  <c r="O53" i="20" l="1"/>
  <c r="P53" i="20" s="1"/>
  <c r="O52" i="20"/>
  <c r="P52" i="20" s="1"/>
  <c r="O97" i="20"/>
  <c r="P97" i="20" s="1"/>
  <c r="O93" i="20"/>
  <c r="P93" i="20" s="1"/>
  <c r="O48" i="20"/>
  <c r="P48" i="20" s="1"/>
  <c r="O46" i="20"/>
  <c r="P46" i="20" s="1"/>
  <c r="O87" i="20"/>
  <c r="P87" i="20" s="1"/>
  <c r="O43" i="20"/>
  <c r="P43" i="20" s="1"/>
  <c r="O89" i="20"/>
  <c r="P89" i="20" s="1"/>
  <c r="O85" i="20"/>
  <c r="P85" i="20" s="1"/>
  <c r="O61" i="20"/>
  <c r="P61" i="20" s="1"/>
  <c r="O21" i="20"/>
  <c r="P21" i="20" s="1"/>
  <c r="O79" i="20"/>
  <c r="P79" i="20" s="1"/>
  <c r="O40" i="20"/>
  <c r="P40" i="20" s="1"/>
  <c r="O41" i="20"/>
  <c r="P41" i="20" s="1"/>
  <c r="O71" i="20"/>
  <c r="P71" i="20" s="1"/>
  <c r="O73" i="20"/>
  <c r="P73" i="20" s="1"/>
  <c r="O62" i="20"/>
  <c r="P62" i="20" s="1"/>
  <c r="O28" i="20"/>
  <c r="P28" i="20" s="1"/>
  <c r="O59" i="20"/>
  <c r="P59" i="20" s="1"/>
  <c r="O29" i="20"/>
  <c r="P29" i="20" s="1"/>
  <c r="N11" i="47"/>
  <c r="O11" i="47" s="1"/>
  <c r="S11" i="47" s="1"/>
  <c r="T11" i="47" s="1"/>
  <c r="N70" i="47"/>
  <c r="O70" i="47" s="1"/>
  <c r="S70" i="47" s="1"/>
  <c r="T70" i="47" s="1"/>
  <c r="N56" i="47"/>
  <c r="O56" i="47" s="1"/>
  <c r="S56" i="47" s="1"/>
  <c r="T56" i="47" s="1"/>
  <c r="N52" i="47"/>
  <c r="O52" i="47" s="1"/>
  <c r="S52" i="47" s="1"/>
  <c r="T52" i="47" s="1"/>
  <c r="N19" i="47"/>
  <c r="O19" i="47" s="1"/>
  <c r="S19" i="47" s="1"/>
  <c r="T19" i="47" s="1"/>
  <c r="N20" i="47"/>
  <c r="O20" i="47" s="1"/>
  <c r="S20" i="47" s="1"/>
  <c r="T20" i="47" s="1"/>
  <c r="N33" i="47"/>
  <c r="O33" i="47" s="1"/>
  <c r="S33" i="47" s="1"/>
  <c r="T33" i="47" s="1"/>
  <c r="Q206" i="45" l="1"/>
  <c r="Q440" i="45"/>
  <c r="O278" i="45" l="1"/>
  <c r="O399" i="45"/>
  <c r="O150" i="45"/>
  <c r="O206" i="45"/>
  <c r="O440" i="45"/>
  <c r="X206" i="45" l="1"/>
  <c r="Y206" i="45" s="1"/>
  <c r="X440" i="45"/>
  <c r="Y440" i="45" s="1"/>
  <c r="X150" i="45"/>
  <c r="Y150" i="45" s="1"/>
  <c r="X399" i="45"/>
  <c r="Y399" i="45" s="1"/>
  <c r="X278" i="45"/>
  <c r="Y278" i="45" s="1"/>
  <c r="Q211" i="45"/>
  <c r="Q384" i="45"/>
  <c r="Q239" i="45"/>
  <c r="Q247" i="45"/>
  <c r="Q282" i="45"/>
  <c r="Q329" i="45"/>
  <c r="Q42" i="45"/>
  <c r="Q375" i="45"/>
  <c r="O211" i="45" l="1"/>
  <c r="O384" i="45"/>
  <c r="O239" i="45"/>
  <c r="O255" i="45"/>
  <c r="O138" i="45"/>
  <c r="O247" i="45"/>
  <c r="O329" i="45"/>
  <c r="O282" i="45"/>
  <c r="O165" i="45"/>
  <c r="O42" i="45"/>
  <c r="O375" i="45"/>
  <c r="O32" i="45"/>
  <c r="X375" i="45" l="1"/>
  <c r="Y375" i="45" s="1"/>
  <c r="X165" i="45"/>
  <c r="Y165" i="45" s="1"/>
  <c r="X138" i="45"/>
  <c r="Y138" i="45" s="1"/>
  <c r="X32" i="45"/>
  <c r="Y32" i="45" s="1"/>
  <c r="X42" i="45"/>
  <c r="Y42" i="45" s="1"/>
  <c r="X282" i="45"/>
  <c r="Y282" i="45" s="1"/>
  <c r="X329" i="45"/>
  <c r="Y329" i="45" s="1"/>
  <c r="X247" i="45"/>
  <c r="Y247" i="45" s="1"/>
  <c r="X255" i="45"/>
  <c r="Y255" i="45" s="1"/>
  <c r="X239" i="45"/>
  <c r="Y239" i="45" s="1"/>
  <c r="X384" i="45"/>
  <c r="Y384" i="45" s="1"/>
  <c r="X211" i="45"/>
  <c r="Y211" i="45" s="1"/>
  <c r="V453" i="45" l="1"/>
  <c r="K10" i="28" l="1"/>
  <c r="M18" i="28" l="1"/>
  <c r="L18" i="28"/>
  <c r="M10" i="28"/>
  <c r="L10" i="28"/>
  <c r="K34" i="28"/>
  <c r="O10" i="28" l="1"/>
  <c r="P10" i="28" s="1"/>
  <c r="T10" i="28" s="1"/>
  <c r="U10" i="28" s="1"/>
  <c r="O18" i="28"/>
  <c r="P18" i="28" s="1"/>
  <c r="T18" i="28" s="1"/>
  <c r="U18" i="28" s="1"/>
  <c r="H41" i="43"/>
  <c r="H45" i="43" s="1"/>
  <c r="H49" i="43" l="1"/>
  <c r="Q8" i="20"/>
  <c r="M8" i="20"/>
  <c r="L8" i="20"/>
  <c r="Q41" i="20"/>
  <c r="O8" i="20" l="1"/>
  <c r="P8" i="20" s="1"/>
  <c r="N105" i="20" l="1"/>
  <c r="N453" i="45"/>
  <c r="N39" i="28" l="1"/>
  <c r="B453" i="45" l="1"/>
  <c r="E471" i="45" l="1"/>
  <c r="N458" i="45"/>
  <c r="Q98" i="20" l="1"/>
  <c r="Q94" i="20"/>
  <c r="Q89" i="20"/>
  <c r="Q87" i="20"/>
  <c r="Q85" i="20"/>
  <c r="Q79" i="20"/>
  <c r="Q73" i="20"/>
  <c r="Q71" i="20"/>
  <c r="Q69" i="20"/>
  <c r="Q62" i="20"/>
  <c r="Q53" i="20"/>
  <c r="Q52" i="20"/>
  <c r="Q48" i="20"/>
  <c r="Q47" i="20"/>
  <c r="Q46" i="20"/>
  <c r="Q43" i="20"/>
  <c r="Q40" i="20"/>
  <c r="Q38" i="20"/>
  <c r="Q21" i="20"/>
  <c r="Q448" i="45"/>
  <c r="Q446" i="45"/>
  <c r="Q445" i="45"/>
  <c r="Q443" i="45"/>
  <c r="Q442" i="45"/>
  <c r="Q435" i="45"/>
  <c r="Q434" i="45"/>
  <c r="Q432" i="45"/>
  <c r="Q431" i="45"/>
  <c r="Q430" i="45"/>
  <c r="Q429" i="45"/>
  <c r="Q428" i="45"/>
  <c r="Q427" i="45"/>
  <c r="Q426" i="45"/>
  <c r="Q424" i="45"/>
  <c r="Q421" i="45"/>
  <c r="Q420" i="45"/>
  <c r="Q419" i="45"/>
  <c r="Q418" i="45"/>
  <c r="Q417" i="45"/>
  <c r="Q416" i="45"/>
  <c r="Q415" i="45"/>
  <c r="Q414" i="45"/>
  <c r="Q413" i="45"/>
  <c r="Q411" i="45"/>
  <c r="Q410" i="45"/>
  <c r="Q409" i="45"/>
  <c r="Q408" i="45"/>
  <c r="Q403" i="45"/>
  <c r="Q402" i="45"/>
  <c r="Q401" i="45"/>
  <c r="Q400" i="45"/>
  <c r="Q398" i="45"/>
  <c r="Q397" i="45"/>
  <c r="Q396" i="45"/>
  <c r="Q395" i="45"/>
  <c r="Q394" i="45"/>
  <c r="Q392" i="45"/>
  <c r="Q391" i="45"/>
  <c r="Q390" i="45"/>
  <c r="Q387" i="45"/>
  <c r="Q385" i="45"/>
  <c r="Q383" i="45"/>
  <c r="Q381" i="45"/>
  <c r="Q380" i="45"/>
  <c r="Q378" i="45"/>
  <c r="Q377" i="45"/>
  <c r="Q374" i="45"/>
  <c r="Q373" i="45"/>
  <c r="Q372" i="45"/>
  <c r="Q371" i="45"/>
  <c r="Q368" i="45"/>
  <c r="Q367" i="45"/>
  <c r="Q366" i="45"/>
  <c r="Q364" i="45"/>
  <c r="Q361" i="45"/>
  <c r="Q360" i="45"/>
  <c r="Q359" i="45"/>
  <c r="Q357" i="45"/>
  <c r="Q356" i="45"/>
  <c r="Q355" i="45"/>
  <c r="Q354" i="45"/>
  <c r="Q353" i="45"/>
  <c r="Q352" i="45"/>
  <c r="Q351" i="45"/>
  <c r="Q350" i="45"/>
  <c r="Q349" i="45"/>
  <c r="Q348" i="45"/>
  <c r="Q345" i="45"/>
  <c r="Q344" i="45"/>
  <c r="Q343" i="45"/>
  <c r="Q341" i="45"/>
  <c r="Q340" i="45"/>
  <c r="Q337" i="45"/>
  <c r="Q335" i="45"/>
  <c r="Q333" i="45"/>
  <c r="Q331" i="45"/>
  <c r="Q330" i="45"/>
  <c r="Q327" i="45"/>
  <c r="Q326" i="45"/>
  <c r="Q325" i="45"/>
  <c r="Q324" i="45"/>
  <c r="Q321" i="45"/>
  <c r="Q319" i="45"/>
  <c r="Q318" i="45"/>
  <c r="Q317" i="45"/>
  <c r="Q315" i="45"/>
  <c r="Q314" i="45"/>
  <c r="Q312" i="45"/>
  <c r="Q311" i="45"/>
  <c r="Q310" i="45"/>
  <c r="Q309" i="45"/>
  <c r="Q308" i="45"/>
  <c r="Q307" i="45"/>
  <c r="Q306" i="45"/>
  <c r="Q305" i="45"/>
  <c r="Q304" i="45"/>
  <c r="Q301" i="45"/>
  <c r="Q300" i="45"/>
  <c r="Q298" i="45"/>
  <c r="Q295" i="45"/>
  <c r="Q294" i="45"/>
  <c r="Q293" i="45"/>
  <c r="Q292" i="45"/>
  <c r="Q290" i="45"/>
  <c r="Q289" i="45"/>
  <c r="Q288" i="45"/>
  <c r="Q287" i="45"/>
  <c r="Q286" i="45"/>
  <c r="Q285" i="45"/>
  <c r="Q284" i="45"/>
  <c r="Q280" i="45"/>
  <c r="Q274" i="45"/>
  <c r="Q273" i="45"/>
  <c r="Q271" i="45"/>
  <c r="Q270" i="45"/>
  <c r="Q269" i="45"/>
  <c r="Q268" i="45"/>
  <c r="Q264" i="45"/>
  <c r="Q263" i="45"/>
  <c r="Q261" i="45"/>
  <c r="Q259" i="45"/>
  <c r="Q258" i="45"/>
  <c r="Q256" i="45"/>
  <c r="Q254" i="45"/>
  <c r="Q251" i="45"/>
  <c r="Q249" i="45"/>
  <c r="Q246" i="45"/>
  <c r="Q245" i="45"/>
  <c r="Q244" i="45"/>
  <c r="Q242" i="45"/>
  <c r="Q240" i="45"/>
  <c r="Q238" i="45"/>
  <c r="Q231" i="45"/>
  <c r="Q230" i="45"/>
  <c r="Q229" i="45"/>
  <c r="Q225" i="45"/>
  <c r="Q222" i="45"/>
  <c r="Q221" i="45"/>
  <c r="Q220" i="45"/>
  <c r="Q218" i="45"/>
  <c r="Q217" i="45"/>
  <c r="Q215" i="45"/>
  <c r="Q214" i="45"/>
  <c r="Q212" i="45"/>
  <c r="Q209" i="45"/>
  <c r="Q207" i="45"/>
  <c r="Q204" i="45"/>
  <c r="Q203" i="45"/>
  <c r="Q202" i="45"/>
  <c r="Q201" i="45"/>
  <c r="Q200" i="45"/>
  <c r="Q198" i="45"/>
  <c r="Q197" i="45"/>
  <c r="Q196" i="45"/>
  <c r="Q195" i="45"/>
  <c r="Q194" i="45"/>
  <c r="Q193" i="45"/>
  <c r="Q192" i="45"/>
  <c r="Q190" i="45"/>
  <c r="Q188" i="45"/>
  <c r="Q187" i="45"/>
  <c r="Q186" i="45"/>
  <c r="Q185" i="45"/>
  <c r="Q184" i="45"/>
  <c r="Q180" i="45"/>
  <c r="Q179" i="45"/>
  <c r="Q178" i="45"/>
  <c r="Q176" i="45"/>
  <c r="Q175" i="45"/>
  <c r="Q174" i="45"/>
  <c r="Q172" i="45"/>
  <c r="Q169" i="45"/>
  <c r="Q168" i="45"/>
  <c r="Q167" i="45"/>
  <c r="Q166" i="45"/>
  <c r="Q164" i="45"/>
  <c r="Q163" i="45"/>
  <c r="Q162" i="45"/>
  <c r="Q160" i="45"/>
  <c r="Q159" i="45"/>
  <c r="Q157" i="45"/>
  <c r="Q156" i="45"/>
  <c r="Q153" i="45"/>
  <c r="Q152" i="45"/>
  <c r="Q151" i="45"/>
  <c r="Q148" i="45"/>
  <c r="Q147" i="45"/>
  <c r="Q146" i="45"/>
  <c r="Q145" i="45"/>
  <c r="Q144" i="45"/>
  <c r="Q142" i="45"/>
  <c r="Q141" i="45"/>
  <c r="Q140" i="45"/>
  <c r="Q139" i="45"/>
  <c r="Q134" i="45"/>
  <c r="Q133" i="45"/>
  <c r="Q132" i="45"/>
  <c r="Q130" i="45"/>
  <c r="Q129" i="45"/>
  <c r="Q128" i="45"/>
  <c r="Q126" i="45"/>
  <c r="Q125" i="45"/>
  <c r="Q124" i="45"/>
  <c r="Q122" i="45"/>
  <c r="Q121" i="45"/>
  <c r="Q120" i="45"/>
  <c r="Q119" i="45"/>
  <c r="Q116" i="45"/>
  <c r="Q115" i="45"/>
  <c r="Q113" i="45"/>
  <c r="Q112" i="45"/>
  <c r="Q111" i="45"/>
  <c r="Q110" i="45"/>
  <c r="Q109" i="45"/>
  <c r="Q106" i="45"/>
  <c r="Q105" i="45"/>
  <c r="Q99" i="45"/>
  <c r="Q98" i="45"/>
  <c r="Q97" i="45"/>
  <c r="Q96" i="45"/>
  <c r="Q95" i="45"/>
  <c r="Q94" i="45"/>
  <c r="Q92" i="45"/>
  <c r="Q89" i="45"/>
  <c r="Q85" i="45"/>
  <c r="Q82" i="45"/>
  <c r="Q81" i="45"/>
  <c r="Q80" i="45"/>
  <c r="Q79" i="45"/>
  <c r="Q77" i="45"/>
  <c r="Q76" i="45"/>
  <c r="Q75" i="45"/>
  <c r="Q73" i="45"/>
  <c r="Q69" i="45"/>
  <c r="Q67" i="45"/>
  <c r="Q64" i="45"/>
  <c r="Q63" i="45"/>
  <c r="Q62" i="45"/>
  <c r="Q61" i="45"/>
  <c r="Q60" i="45"/>
  <c r="Q59" i="45"/>
  <c r="Q57" i="45"/>
  <c r="Q55" i="45"/>
  <c r="Q54" i="45"/>
  <c r="Q53" i="45"/>
  <c r="Q52" i="45"/>
  <c r="Q49" i="45"/>
  <c r="Q48" i="45"/>
  <c r="Q40" i="45"/>
  <c r="Q39" i="45"/>
  <c r="Q37" i="45"/>
  <c r="Q36" i="45"/>
  <c r="Q33" i="45"/>
  <c r="Q31" i="45"/>
  <c r="Q29" i="45"/>
  <c r="Q28" i="45"/>
  <c r="Q27" i="45"/>
  <c r="Q25" i="45"/>
  <c r="Q22" i="45"/>
  <c r="Q20" i="45"/>
  <c r="Q19" i="45"/>
  <c r="Q17" i="45"/>
  <c r="Q16" i="45"/>
  <c r="Q15" i="45"/>
  <c r="Q13" i="45"/>
  <c r="Q12" i="45"/>
  <c r="Q11" i="45"/>
  <c r="Q10" i="45"/>
  <c r="Q9" i="45"/>
  <c r="Q8" i="45"/>
  <c r="Q101" i="20" l="1"/>
  <c r="Q450" i="45"/>
  <c r="N459" i="45"/>
  <c r="N460" i="45" s="1"/>
  <c r="N461" i="45" s="1"/>
  <c r="S11" i="51" l="1"/>
  <c r="R11" i="51"/>
  <c r="N9" i="51"/>
  <c r="M9" i="51"/>
  <c r="L9" i="51"/>
  <c r="N8" i="51"/>
  <c r="L8" i="51"/>
  <c r="M8" i="51" l="1"/>
  <c r="K11" i="51"/>
  <c r="H43" i="50" s="1"/>
  <c r="N11" i="51"/>
  <c r="Q11" i="51"/>
  <c r="M11" i="51" l="1"/>
  <c r="L11" i="51"/>
  <c r="O269" i="45" l="1"/>
  <c r="O65" i="45"/>
  <c r="O61" i="45"/>
  <c r="X269" i="45" l="1"/>
  <c r="Y269" i="45" s="1"/>
  <c r="X61" i="45"/>
  <c r="Y61" i="45" s="1"/>
  <c r="X65" i="45"/>
  <c r="Y65" i="45" s="1"/>
  <c r="M98" i="20"/>
  <c r="L98" i="20"/>
  <c r="L38" i="20"/>
  <c r="M38" i="20"/>
  <c r="O98" i="20" l="1"/>
  <c r="P98" i="20" s="1"/>
  <c r="O38" i="20"/>
  <c r="P38" i="20" s="1"/>
  <c r="N57" i="47"/>
  <c r="O57" i="47" s="1"/>
  <c r="S57" i="47" l="1"/>
  <c r="T57" i="47" s="1"/>
  <c r="H41" i="46"/>
  <c r="O12" i="45" l="1"/>
  <c r="X12" i="45" l="1"/>
  <c r="Y12" i="45" s="1"/>
  <c r="O382" i="45"/>
  <c r="X382" i="45" l="1"/>
  <c r="Y382" i="45" s="1"/>
  <c r="O184" i="45"/>
  <c r="O253" i="45"/>
  <c r="O280" i="45"/>
  <c r="O313" i="45"/>
  <c r="X313" i="45" l="1"/>
  <c r="Y313" i="45" s="1"/>
  <c r="X280" i="45"/>
  <c r="Y280" i="45" s="1"/>
  <c r="X253" i="45"/>
  <c r="Y253" i="45" s="1"/>
  <c r="X184" i="45"/>
  <c r="Y184" i="45" s="1"/>
  <c r="I25" i="50"/>
  <c r="H40" i="50" s="1"/>
  <c r="H41" i="50" l="1"/>
  <c r="H45" i="50" s="1"/>
  <c r="H38" i="46" l="1"/>
  <c r="H39" i="46" l="1"/>
  <c r="H43" i="46" s="1"/>
  <c r="M9" i="39"/>
  <c r="M12" i="39" s="1"/>
  <c r="P9" i="39"/>
  <c r="Q9" i="39"/>
  <c r="Q12" i="39" s="1"/>
  <c r="S9" i="39"/>
  <c r="S12" i="39" s="1"/>
  <c r="J9" i="39"/>
  <c r="O20" i="45" l="1"/>
  <c r="O346" i="45"/>
  <c r="O139" i="45"/>
  <c r="P12" i="39"/>
  <c r="J12" i="39"/>
  <c r="H42" i="48"/>
  <c r="X139" i="45" l="1"/>
  <c r="Y139" i="45" s="1"/>
  <c r="X346" i="45"/>
  <c r="Y346" i="45" s="1"/>
  <c r="X20" i="45"/>
  <c r="Y20" i="45" s="1"/>
  <c r="O285" i="45"/>
  <c r="I24" i="48"/>
  <c r="H39" i="48" s="1"/>
  <c r="J14" i="48"/>
  <c r="X285" i="45" l="1"/>
  <c r="Y285" i="45" s="1"/>
  <c r="H37" i="48"/>
  <c r="H40" i="48" s="1"/>
  <c r="E468" i="45" l="1"/>
  <c r="O59" i="45" l="1"/>
  <c r="O434" i="45"/>
  <c r="O49" i="45"/>
  <c r="O78" i="45"/>
  <c r="O111" i="45"/>
  <c r="O134" i="45"/>
  <c r="O166" i="45"/>
  <c r="O188" i="45"/>
  <c r="O208" i="45"/>
  <c r="O235" i="45"/>
  <c r="O258" i="45"/>
  <c r="O292" i="45"/>
  <c r="O311" i="45"/>
  <c r="O19" i="45"/>
  <c r="O330" i="45"/>
  <c r="O350" i="45"/>
  <c r="O196" i="45"/>
  <c r="O403" i="45"/>
  <c r="O426" i="45"/>
  <c r="O170" i="45"/>
  <c r="O198" i="45"/>
  <c r="O345" i="45"/>
  <c r="O427" i="45"/>
  <c r="O156" i="45"/>
  <c r="O97" i="45"/>
  <c r="O218" i="45"/>
  <c r="O305" i="45"/>
  <c r="O11" i="45"/>
  <c r="O64" i="45"/>
  <c r="O123" i="45"/>
  <c r="O163" i="45"/>
  <c r="O183" i="45"/>
  <c r="O202" i="45"/>
  <c r="O220" i="45"/>
  <c r="O287" i="45"/>
  <c r="O306" i="45"/>
  <c r="O367" i="45"/>
  <c r="O390" i="45"/>
  <c r="O404" i="45"/>
  <c r="O428" i="45"/>
  <c r="O33" i="45"/>
  <c r="O160" i="45"/>
  <c r="O366" i="45"/>
  <c r="O320" i="45"/>
  <c r="O177" i="45"/>
  <c r="O249" i="45"/>
  <c r="O321" i="45"/>
  <c r="O385" i="45"/>
  <c r="O37" i="45"/>
  <c r="O72" i="45"/>
  <c r="O164" i="45"/>
  <c r="O185" i="45"/>
  <c r="O207" i="45"/>
  <c r="O223" i="45"/>
  <c r="O254" i="45"/>
  <c r="O288" i="45"/>
  <c r="O307" i="45"/>
  <c r="O325" i="45"/>
  <c r="O348" i="45"/>
  <c r="O368" i="45"/>
  <c r="O408" i="45"/>
  <c r="O430" i="45"/>
  <c r="O380" i="45"/>
  <c r="O432" i="45"/>
  <c r="O373" i="45"/>
  <c r="O395" i="45"/>
  <c r="O413" i="45"/>
  <c r="O433" i="45"/>
  <c r="O9" i="45"/>
  <c r="O15" i="45"/>
  <c r="O289" i="45"/>
  <c r="O118" i="45"/>
  <c r="O231" i="45"/>
  <c r="O50" i="45"/>
  <c r="O312" i="45"/>
  <c r="O398" i="45"/>
  <c r="O414" i="45"/>
  <c r="O60" i="45"/>
  <c r="O302" i="45"/>
  <c r="O10" i="45"/>
  <c r="O122" i="45"/>
  <c r="O411" i="45"/>
  <c r="O140" i="45"/>
  <c r="O355" i="45"/>
  <c r="O144" i="45"/>
  <c r="O193" i="45"/>
  <c r="O213" i="45"/>
  <c r="O264" i="45"/>
  <c r="O298" i="45"/>
  <c r="O316" i="45"/>
  <c r="O356" i="45"/>
  <c r="O377" i="45"/>
  <c r="O400" i="45"/>
  <c r="O416" i="45"/>
  <c r="O443" i="45"/>
  <c r="O244" i="45"/>
  <c r="O326" i="45"/>
  <c r="O27" i="45"/>
  <c r="O210" i="45"/>
  <c r="O261" i="45"/>
  <c r="O96" i="45"/>
  <c r="O126" i="45"/>
  <c r="O186" i="45"/>
  <c r="O256" i="45"/>
  <c r="O190" i="45"/>
  <c r="O374" i="45"/>
  <c r="O28" i="45"/>
  <c r="O114" i="45"/>
  <c r="O115" i="45"/>
  <c r="O145" i="45"/>
  <c r="O194" i="45"/>
  <c r="O214" i="45"/>
  <c r="O240" i="45"/>
  <c r="O299" i="45"/>
  <c r="O317" i="45"/>
  <c r="O342" i="45"/>
  <c r="O359" i="45"/>
  <c r="O378" i="45"/>
  <c r="O401" i="45"/>
  <c r="O445" i="45"/>
  <c r="O217" i="45"/>
  <c r="O63" i="45"/>
  <c r="O73" i="45"/>
  <c r="O80" i="45"/>
  <c r="O295" i="45"/>
  <c r="O84" i="45"/>
  <c r="O364" i="45"/>
  <c r="O44" i="45"/>
  <c r="O372" i="45"/>
  <c r="O238" i="45"/>
  <c r="O54" i="45"/>
  <c r="O85" i="45"/>
  <c r="O116" i="45"/>
  <c r="O149" i="45"/>
  <c r="O169" i="45"/>
  <c r="O195" i="45"/>
  <c r="O215" i="45"/>
  <c r="O242" i="45"/>
  <c r="O301" i="45"/>
  <c r="O319" i="45"/>
  <c r="O343" i="45"/>
  <c r="O361" i="45"/>
  <c r="O379" i="45"/>
  <c r="O402" i="45"/>
  <c r="O424" i="45"/>
  <c r="O106" i="45"/>
  <c r="O309" i="45"/>
  <c r="O167" i="45"/>
  <c r="O333" i="45"/>
  <c r="O168" i="45"/>
  <c r="O31" i="45"/>
  <c r="B457" i="45"/>
  <c r="X238" i="45" l="1"/>
  <c r="Y238" i="45" s="1"/>
  <c r="X378" i="45"/>
  <c r="Y378" i="45" s="1"/>
  <c r="X28" i="45"/>
  <c r="Y28" i="45" s="1"/>
  <c r="X140" i="45"/>
  <c r="Y140" i="45" s="1"/>
  <c r="X118" i="45"/>
  <c r="Y118" i="45" s="1"/>
  <c r="X385" i="45"/>
  <c r="Y385" i="45" s="1"/>
  <c r="X372" i="45"/>
  <c r="Y372" i="45" s="1"/>
  <c r="X374" i="45"/>
  <c r="Y374" i="45" s="1"/>
  <c r="X411" i="45"/>
  <c r="Y411" i="45" s="1"/>
  <c r="X348" i="45"/>
  <c r="Y348" i="45" s="1"/>
  <c r="X287" i="45"/>
  <c r="Y287" i="45" s="1"/>
  <c r="X258" i="45"/>
  <c r="Y258" i="45" s="1"/>
  <c r="X31" i="45"/>
  <c r="Y31" i="45" s="1"/>
  <c r="X319" i="45"/>
  <c r="Y319" i="45" s="1"/>
  <c r="X342" i="45"/>
  <c r="Y342" i="45" s="1"/>
  <c r="X190" i="45"/>
  <c r="Y190" i="45" s="1"/>
  <c r="X122" i="45"/>
  <c r="Y122" i="45" s="1"/>
  <c r="X15" i="45"/>
  <c r="Y15" i="45" s="1"/>
  <c r="X249" i="45"/>
  <c r="Y249" i="45" s="1"/>
  <c r="X220" i="45"/>
  <c r="Y220" i="45" s="1"/>
  <c r="X345" i="45"/>
  <c r="Y345" i="45" s="1"/>
  <c r="X168" i="45"/>
  <c r="Y168" i="45" s="1"/>
  <c r="X301" i="45"/>
  <c r="Y301" i="45" s="1"/>
  <c r="X317" i="45"/>
  <c r="Y317" i="45" s="1"/>
  <c r="X256" i="45"/>
  <c r="Y256" i="45" s="1"/>
  <c r="X10" i="45"/>
  <c r="Y10" i="45" s="1"/>
  <c r="X9" i="45"/>
  <c r="Y9" i="45" s="1"/>
  <c r="X177" i="45"/>
  <c r="Y177" i="45" s="1"/>
  <c r="X202" i="45"/>
  <c r="Y202" i="45" s="1"/>
  <c r="X208" i="45"/>
  <c r="Y208" i="45" s="1"/>
  <c r="X333" i="45"/>
  <c r="Y333" i="45" s="1"/>
  <c r="X84" i="45"/>
  <c r="Y84" i="45" s="1"/>
  <c r="X299" i="45"/>
  <c r="Y299" i="45" s="1"/>
  <c r="X186" i="45"/>
  <c r="Y186" i="45" s="1"/>
  <c r="X302" i="45"/>
  <c r="Y302" i="45" s="1"/>
  <c r="X433" i="45"/>
  <c r="Y433" i="45" s="1"/>
  <c r="X288" i="45"/>
  <c r="Y288" i="45" s="1"/>
  <c r="X320" i="45"/>
  <c r="Y320" i="45" s="1"/>
  <c r="X183" i="45"/>
  <c r="Y183" i="45" s="1"/>
  <c r="X188" i="45"/>
  <c r="Y188" i="45" s="1"/>
  <c r="X167" i="45"/>
  <c r="Y167" i="45" s="1"/>
  <c r="X295" i="45"/>
  <c r="Y295" i="45" s="1"/>
  <c r="X126" i="45"/>
  <c r="Y126" i="45" s="1"/>
  <c r="X316" i="45"/>
  <c r="Y316" i="45" s="1"/>
  <c r="X413" i="45"/>
  <c r="Y413" i="45" s="1"/>
  <c r="X254" i="45"/>
  <c r="Y254" i="45" s="1"/>
  <c r="X163" i="45"/>
  <c r="Y163" i="45" s="1"/>
  <c r="X166" i="45"/>
  <c r="Y166" i="45" s="1"/>
  <c r="X309" i="45"/>
  <c r="Y309" i="45" s="1"/>
  <c r="X80" i="45"/>
  <c r="Y80" i="45" s="1"/>
  <c r="X240" i="45"/>
  <c r="Y240" i="45" s="1"/>
  <c r="X96" i="45"/>
  <c r="Y96" i="45" s="1"/>
  <c r="X60" i="45"/>
  <c r="Y60" i="45" s="1"/>
  <c r="X395" i="45"/>
  <c r="Y395" i="45" s="1"/>
  <c r="X160" i="45"/>
  <c r="Y160" i="45" s="1"/>
  <c r="X123" i="45"/>
  <c r="Y123" i="45" s="1"/>
  <c r="X134" i="45"/>
  <c r="Y134" i="45" s="1"/>
  <c r="X169" i="45"/>
  <c r="Y169" i="45" s="1"/>
  <c r="X73" i="45"/>
  <c r="Y73" i="45" s="1"/>
  <c r="X214" i="45"/>
  <c r="Y214" i="45" s="1"/>
  <c r="X261" i="45"/>
  <c r="Y261" i="45" s="1"/>
  <c r="X414" i="45"/>
  <c r="Y414" i="45" s="1"/>
  <c r="X373" i="45"/>
  <c r="Y373" i="45" s="1"/>
  <c r="X207" i="45"/>
  <c r="Y207" i="45" s="1"/>
  <c r="X33" i="45"/>
  <c r="Y33" i="45" s="1"/>
  <c r="X64" i="45"/>
  <c r="Y64" i="45" s="1"/>
  <c r="X111" i="45"/>
  <c r="Y111" i="45" s="1"/>
  <c r="X149" i="45"/>
  <c r="Y149" i="45" s="1"/>
  <c r="X63" i="45"/>
  <c r="Y63" i="45" s="1"/>
  <c r="X194" i="45"/>
  <c r="Y194" i="45" s="1"/>
  <c r="X210" i="45"/>
  <c r="Y210" i="45" s="1"/>
  <c r="X213" i="45"/>
  <c r="Y213" i="45" s="1"/>
  <c r="X398" i="45"/>
  <c r="Y398" i="45" s="1"/>
  <c r="X432" i="45"/>
  <c r="Y432" i="45" s="1"/>
  <c r="X185" i="45"/>
  <c r="Y185" i="45" s="1"/>
  <c r="X428" i="45"/>
  <c r="Y428" i="45" s="1"/>
  <c r="X11" i="45"/>
  <c r="Y11" i="45" s="1"/>
  <c r="X350" i="45"/>
  <c r="Y350" i="45" s="1"/>
  <c r="X78" i="45"/>
  <c r="Y78" i="45" s="1"/>
  <c r="X361" i="45"/>
  <c r="Y361" i="45" s="1"/>
  <c r="X443" i="45"/>
  <c r="Y443" i="45" s="1"/>
  <c r="X156" i="45"/>
  <c r="Y156" i="45" s="1"/>
  <c r="X343" i="45"/>
  <c r="Y343" i="45" s="1"/>
  <c r="X321" i="45"/>
  <c r="Y321" i="45" s="1"/>
  <c r="X215" i="45"/>
  <c r="Y215" i="45" s="1"/>
  <c r="X366" i="45"/>
  <c r="Y366" i="45" s="1"/>
  <c r="X426" i="45"/>
  <c r="Y426" i="45" s="1"/>
  <c r="X195" i="45"/>
  <c r="Y195" i="45" s="1"/>
  <c r="X298" i="45"/>
  <c r="Y298" i="45" s="1"/>
  <c r="X223" i="45"/>
  <c r="Y223" i="45" s="1"/>
  <c r="X403" i="45"/>
  <c r="Y403" i="45" s="1"/>
  <c r="X106" i="45"/>
  <c r="Y106" i="45" s="1"/>
  <c r="X264" i="45"/>
  <c r="Y264" i="45" s="1"/>
  <c r="X196" i="45"/>
  <c r="Y196" i="45" s="1"/>
  <c r="X424" i="45"/>
  <c r="Y424" i="45" s="1"/>
  <c r="X116" i="45"/>
  <c r="Y116" i="45" s="1"/>
  <c r="X145" i="45"/>
  <c r="Y145" i="45" s="1"/>
  <c r="X312" i="45"/>
  <c r="Y312" i="45" s="1"/>
  <c r="X115" i="45"/>
  <c r="Y115" i="45" s="1"/>
  <c r="X306" i="45"/>
  <c r="Y306" i="45" s="1"/>
  <c r="X292" i="45"/>
  <c r="Y292" i="45" s="1"/>
  <c r="X359" i="45"/>
  <c r="Y359" i="45" s="1"/>
  <c r="X416" i="45"/>
  <c r="Y416" i="45" s="1"/>
  <c r="X289" i="45"/>
  <c r="Y289" i="45" s="1"/>
  <c r="X427" i="45"/>
  <c r="Y427" i="45" s="1"/>
  <c r="X44" i="45"/>
  <c r="Y44" i="45" s="1"/>
  <c r="X400" i="45"/>
  <c r="Y400" i="45" s="1"/>
  <c r="X325" i="45"/>
  <c r="Y325" i="45" s="1"/>
  <c r="X235" i="45"/>
  <c r="Y235" i="45" s="1"/>
  <c r="X364" i="45"/>
  <c r="Y364" i="45" s="1"/>
  <c r="X377" i="45"/>
  <c r="Y377" i="45" s="1"/>
  <c r="X307" i="45"/>
  <c r="Y307" i="45" s="1"/>
  <c r="X198" i="45"/>
  <c r="Y198" i="45" s="1"/>
  <c r="X242" i="45"/>
  <c r="Y242" i="45" s="1"/>
  <c r="X356" i="45"/>
  <c r="Y356" i="45" s="1"/>
  <c r="X170" i="45"/>
  <c r="Y170" i="45" s="1"/>
  <c r="X217" i="45"/>
  <c r="Y217" i="45" s="1"/>
  <c r="X27" i="45"/>
  <c r="Y27" i="45" s="1"/>
  <c r="X193" i="45"/>
  <c r="Y193" i="45" s="1"/>
  <c r="X380" i="45"/>
  <c r="Y380" i="45" s="1"/>
  <c r="X164" i="45"/>
  <c r="Y164" i="45" s="1"/>
  <c r="X404" i="45"/>
  <c r="Y404" i="45" s="1"/>
  <c r="X305" i="45"/>
  <c r="Y305" i="45" s="1"/>
  <c r="X330" i="45"/>
  <c r="Y330" i="45" s="1"/>
  <c r="X49" i="45"/>
  <c r="Y49" i="45" s="1"/>
  <c r="X402" i="45"/>
  <c r="Y402" i="45" s="1"/>
  <c r="X85" i="45"/>
  <c r="Y85" i="45" s="1"/>
  <c r="X445" i="45"/>
  <c r="Y445" i="45" s="1"/>
  <c r="X326" i="45"/>
  <c r="Y326" i="45" s="1"/>
  <c r="X144" i="45"/>
  <c r="Y144" i="45" s="1"/>
  <c r="X50" i="45"/>
  <c r="Y50" i="45" s="1"/>
  <c r="X430" i="45"/>
  <c r="Y430" i="45" s="1"/>
  <c r="X72" i="45"/>
  <c r="Y72" i="45" s="1"/>
  <c r="X390" i="45"/>
  <c r="Y390" i="45" s="1"/>
  <c r="X218" i="45"/>
  <c r="Y218" i="45" s="1"/>
  <c r="X19" i="45"/>
  <c r="Y19" i="45" s="1"/>
  <c r="X434" i="45"/>
  <c r="Y434" i="45" s="1"/>
  <c r="X379" i="45"/>
  <c r="Y379" i="45" s="1"/>
  <c r="X54" i="45"/>
  <c r="Y54" i="45" s="1"/>
  <c r="X401" i="45"/>
  <c r="Y401" i="45" s="1"/>
  <c r="X114" i="45"/>
  <c r="Y114" i="45" s="1"/>
  <c r="X244" i="45"/>
  <c r="Y244" i="45" s="1"/>
  <c r="X355" i="45"/>
  <c r="Y355" i="45" s="1"/>
  <c r="X231" i="45"/>
  <c r="Y231" i="45" s="1"/>
  <c r="X408" i="45"/>
  <c r="Y408" i="45" s="1"/>
  <c r="X37" i="45"/>
  <c r="Y37" i="45" s="1"/>
  <c r="X367" i="45"/>
  <c r="Y367" i="45" s="1"/>
  <c r="X97" i="45"/>
  <c r="Y97" i="45" s="1"/>
  <c r="X59" i="45"/>
  <c r="Y59" i="45" s="1"/>
  <c r="X368" i="45"/>
  <c r="Y368" i="45" s="1"/>
  <c r="O9" i="51"/>
  <c r="R9" i="39"/>
  <c r="X311" i="45" l="1"/>
  <c r="Y311" i="45" l="1"/>
  <c r="O124" i="45" l="1"/>
  <c r="O39" i="45"/>
  <c r="X39" i="45" l="1"/>
  <c r="Y39" i="45" s="1"/>
  <c r="X124" i="45"/>
  <c r="Y124" i="45" s="1"/>
  <c r="O175" i="45" l="1"/>
  <c r="O53" i="45"/>
  <c r="J16" i="9"/>
  <c r="J15" i="9"/>
  <c r="J14" i="9"/>
  <c r="X53" i="45" l="1"/>
  <c r="Y53" i="45" s="1"/>
  <c r="X175" i="45"/>
  <c r="Y175" i="45" s="1"/>
  <c r="O8" i="51"/>
  <c r="O11" i="51" s="1"/>
  <c r="J17" i="9"/>
  <c r="J18" i="9" s="1"/>
  <c r="N64" i="47" l="1"/>
  <c r="O64" i="47" s="1"/>
  <c r="S64" i="47" s="1"/>
  <c r="T64" i="47" s="1"/>
  <c r="N18" i="47"/>
  <c r="O18" i="47" s="1"/>
  <c r="S18" i="47" s="1"/>
  <c r="T18" i="47" s="1"/>
  <c r="M7" i="28" l="1"/>
  <c r="M34" i="28" s="1"/>
  <c r="L7" i="28"/>
  <c r="L34" i="28" s="1"/>
  <c r="O7" i="28" l="1"/>
  <c r="O34" i="28" s="1"/>
  <c r="M47" i="20" l="1"/>
  <c r="L47" i="20"/>
  <c r="Q39" i="28"/>
  <c r="R39" i="28"/>
  <c r="S39" i="28"/>
  <c r="O47" i="20" l="1"/>
  <c r="P47" i="20" s="1"/>
  <c r="O419" i="45"/>
  <c r="N8" i="47"/>
  <c r="O8" i="47" s="1"/>
  <c r="S8" i="47" s="1"/>
  <c r="T8" i="47" s="1"/>
  <c r="X419" i="45" l="1"/>
  <c r="Y419" i="45" s="1"/>
  <c r="R80" i="47"/>
  <c r="Q80" i="47"/>
  <c r="P80" i="47"/>
  <c r="M79" i="47"/>
  <c r="M80" i="47" s="1"/>
  <c r="L79" i="47"/>
  <c r="L80" i="47" s="1"/>
  <c r="K79" i="47"/>
  <c r="K80" i="47" s="1"/>
  <c r="N74" i="47"/>
  <c r="O74" i="47" s="1"/>
  <c r="S74" i="47" s="1"/>
  <c r="T74" i="47" s="1"/>
  <c r="N72" i="47"/>
  <c r="O72" i="47" s="1"/>
  <c r="S72" i="47" s="1"/>
  <c r="T72" i="47" s="1"/>
  <c r="N67" i="47"/>
  <c r="O67" i="47" s="1"/>
  <c r="S67" i="47" s="1"/>
  <c r="T67" i="47" s="1"/>
  <c r="N66" i="47"/>
  <c r="O66" i="47" s="1"/>
  <c r="S66" i="47" s="1"/>
  <c r="T66" i="47" s="1"/>
  <c r="N65" i="47"/>
  <c r="O65" i="47" s="1"/>
  <c r="S65" i="47" s="1"/>
  <c r="T65" i="47" s="1"/>
  <c r="N63" i="47"/>
  <c r="O63" i="47" s="1"/>
  <c r="S63" i="47" s="1"/>
  <c r="T63" i="47" s="1"/>
  <c r="N62" i="47"/>
  <c r="O62" i="47" s="1"/>
  <c r="S62" i="47" s="1"/>
  <c r="T62" i="47" s="1"/>
  <c r="N59" i="47"/>
  <c r="O59" i="47" s="1"/>
  <c r="S59" i="47" s="1"/>
  <c r="T59" i="47" s="1"/>
  <c r="N55" i="47"/>
  <c r="O55" i="47" s="1"/>
  <c r="S55" i="47" s="1"/>
  <c r="T55" i="47" s="1"/>
  <c r="N53" i="47"/>
  <c r="O53" i="47" s="1"/>
  <c r="S53" i="47" s="1"/>
  <c r="T53" i="47" s="1"/>
  <c r="N50" i="47"/>
  <c r="O50" i="47" s="1"/>
  <c r="S50" i="47" s="1"/>
  <c r="T50" i="47" s="1"/>
  <c r="N49" i="47"/>
  <c r="O49" i="47" s="1"/>
  <c r="S49" i="47" s="1"/>
  <c r="T49" i="47" s="1"/>
  <c r="N45" i="47"/>
  <c r="O45" i="47" s="1"/>
  <c r="S45" i="47" s="1"/>
  <c r="T45" i="47" s="1"/>
  <c r="N37" i="47"/>
  <c r="O37" i="47" s="1"/>
  <c r="S37" i="47" s="1"/>
  <c r="T37" i="47" s="1"/>
  <c r="O36" i="47"/>
  <c r="S36" i="47" s="1"/>
  <c r="T36" i="47" s="1"/>
  <c r="N35" i="47"/>
  <c r="O35" i="47" s="1"/>
  <c r="S35" i="47" s="1"/>
  <c r="T35" i="47" s="1"/>
  <c r="N32" i="47"/>
  <c r="O32" i="47" s="1"/>
  <c r="S32" i="47" s="1"/>
  <c r="T32" i="47" s="1"/>
  <c r="N28" i="47"/>
  <c r="O28" i="47" s="1"/>
  <c r="S28" i="47" s="1"/>
  <c r="T28" i="47" s="1"/>
  <c r="N25" i="47"/>
  <c r="O25" i="47" s="1"/>
  <c r="S25" i="47" s="1"/>
  <c r="T25" i="47" s="1"/>
  <c r="N23" i="47"/>
  <c r="O23" i="47" s="1"/>
  <c r="S23" i="47" s="1"/>
  <c r="T23" i="47" s="1"/>
  <c r="J80" i="47"/>
  <c r="N16" i="47"/>
  <c r="O16" i="47" s="1"/>
  <c r="S16" i="47" s="1"/>
  <c r="T16" i="47" s="1"/>
  <c r="N15" i="47"/>
  <c r="O15" i="47" s="1"/>
  <c r="S15" i="47" s="1"/>
  <c r="T15" i="47" s="1"/>
  <c r="N14" i="47"/>
  <c r="O14" i="47" s="1"/>
  <c r="S14" i="47" s="1"/>
  <c r="T14" i="47" s="1"/>
  <c r="N13" i="47"/>
  <c r="O13" i="47" s="1"/>
  <c r="S13" i="47" s="1"/>
  <c r="T13" i="47" s="1"/>
  <c r="N10" i="47"/>
  <c r="O10" i="47" s="1"/>
  <c r="S10" i="47" s="1"/>
  <c r="T10" i="47" s="1"/>
  <c r="N77" i="47" l="1"/>
  <c r="S79" i="47"/>
  <c r="O77" i="47" l="1"/>
  <c r="O80" i="47" s="1"/>
  <c r="N80" i="47"/>
  <c r="S77" i="47" l="1"/>
  <c r="S80" i="47" s="1"/>
  <c r="T77" i="47"/>
  <c r="T80" i="47" s="1"/>
  <c r="O435" i="45" l="1"/>
  <c r="X435" i="45" l="1"/>
  <c r="Y435" i="45" s="1"/>
  <c r="O172" i="45" l="1"/>
  <c r="P172" i="45" s="1"/>
  <c r="O423" i="45" l="1"/>
  <c r="O128" i="45" l="1"/>
  <c r="O417" i="45"/>
  <c r="O273" i="45"/>
  <c r="O155" i="45"/>
  <c r="O17" i="45"/>
  <c r="O14" i="45"/>
  <c r="O132" i="45"/>
  <c r="O24" i="45"/>
  <c r="O274" i="45"/>
  <c r="O129" i="45"/>
  <c r="O68" i="45"/>
  <c r="O25" i="45"/>
  <c r="O396" i="45"/>
  <c r="O409" i="45"/>
  <c r="O353" i="45"/>
  <c r="O29" i="45"/>
  <c r="O260" i="45"/>
  <c r="O173" i="45"/>
  <c r="O290" i="45"/>
  <c r="O203" i="45"/>
  <c r="O52" i="45"/>
  <c r="O347" i="45"/>
  <c r="O219" i="45"/>
  <c r="O209" i="45"/>
  <c r="O271" i="45"/>
  <c r="O91" i="45"/>
  <c r="O38" i="45"/>
  <c r="O226" i="45"/>
  <c r="O81" i="45"/>
  <c r="O397" i="45"/>
  <c r="O259" i="45"/>
  <c r="O387" i="45"/>
  <c r="O110" i="45"/>
  <c r="O283" i="45"/>
  <c r="O331" i="45"/>
  <c r="O105" i="45"/>
  <c r="O13" i="45"/>
  <c r="O314" i="45"/>
  <c r="O12" i="52" s="1"/>
  <c r="O197" i="45"/>
  <c r="O66" i="45"/>
  <c r="O437" i="45"/>
  <c r="X66" i="45" l="1"/>
  <c r="Y66" i="45" s="1"/>
  <c r="X38" i="45"/>
  <c r="Y38" i="45" s="1"/>
  <c r="X226" i="45"/>
  <c r="Y226" i="45" s="1"/>
  <c r="X17" i="45"/>
  <c r="Y17" i="45" s="1"/>
  <c r="X155" i="45"/>
  <c r="Y155" i="45" s="1"/>
  <c r="X314" i="45"/>
  <c r="Y314" i="45" s="1"/>
  <c r="X353" i="45"/>
  <c r="Y353" i="45" s="1"/>
  <c r="X273" i="45"/>
  <c r="Y273" i="45" s="1"/>
  <c r="X13" i="45"/>
  <c r="Y13" i="45" s="1"/>
  <c r="X271" i="45"/>
  <c r="Y271" i="45" s="1"/>
  <c r="X409" i="45"/>
  <c r="Y409" i="45" s="1"/>
  <c r="X417" i="45"/>
  <c r="Y417" i="45" s="1"/>
  <c r="X105" i="45"/>
  <c r="Y105" i="45" s="1"/>
  <c r="X209" i="45"/>
  <c r="Y209" i="45" s="1"/>
  <c r="X396" i="45"/>
  <c r="Y396" i="45" s="1"/>
  <c r="X128" i="45"/>
  <c r="Y128" i="45" s="1"/>
  <c r="X331" i="45"/>
  <c r="Y331" i="45" s="1"/>
  <c r="X219" i="45"/>
  <c r="Y219" i="45" s="1"/>
  <c r="X25" i="45"/>
  <c r="Y25" i="45" s="1"/>
  <c r="X283" i="45"/>
  <c r="Y283" i="45" s="1"/>
  <c r="X347" i="45"/>
  <c r="Y347" i="45" s="1"/>
  <c r="X68" i="45"/>
  <c r="Y68" i="45" s="1"/>
  <c r="X197" i="45"/>
  <c r="Y197" i="45" s="1"/>
  <c r="X260" i="45"/>
  <c r="Y260" i="45" s="1"/>
  <c r="X29" i="45"/>
  <c r="Y29" i="45" s="1"/>
  <c r="X91" i="45"/>
  <c r="Y91" i="45" s="1"/>
  <c r="X110" i="45"/>
  <c r="Y110" i="45" s="1"/>
  <c r="X52" i="45"/>
  <c r="Y52" i="45" s="1"/>
  <c r="X129" i="45"/>
  <c r="Y129" i="45" s="1"/>
  <c r="X387" i="45"/>
  <c r="Y387" i="45" s="1"/>
  <c r="X423" i="45"/>
  <c r="Y423" i="45" s="1"/>
  <c r="X274" i="45"/>
  <c r="Y274" i="45" s="1"/>
  <c r="X259" i="45"/>
  <c r="Y259" i="45" s="1"/>
  <c r="X203" i="45"/>
  <c r="Y203" i="45" s="1"/>
  <c r="X24" i="45"/>
  <c r="Y24" i="45" s="1"/>
  <c r="X397" i="45"/>
  <c r="Y397" i="45" s="1"/>
  <c r="X290" i="45"/>
  <c r="Y290" i="45" s="1"/>
  <c r="X132" i="45"/>
  <c r="Y132" i="45" s="1"/>
  <c r="X437" i="45"/>
  <c r="Y437" i="45" s="1"/>
  <c r="X81" i="45"/>
  <c r="Y81" i="45" s="1"/>
  <c r="X14" i="45"/>
  <c r="Y14" i="45" s="1"/>
  <c r="O341" i="45"/>
  <c r="O13" i="52" s="1"/>
  <c r="O357" i="45"/>
  <c r="O201" i="45"/>
  <c r="O192" i="45"/>
  <c r="O187" i="45"/>
  <c r="O9" i="52" s="1"/>
  <c r="O268" i="45"/>
  <c r="O11" i="52" s="1"/>
  <c r="O229" i="45"/>
  <c r="O315" i="45"/>
  <c r="O230" i="45"/>
  <c r="P12" i="52" l="1"/>
  <c r="T12" i="52" s="1"/>
  <c r="U12" i="52" s="1"/>
  <c r="X230" i="45"/>
  <c r="Y230" i="45" s="1"/>
  <c r="X229" i="45"/>
  <c r="Y229" i="45" s="1"/>
  <c r="X315" i="45"/>
  <c r="Y315" i="45" s="1"/>
  <c r="X187" i="45"/>
  <c r="Y187" i="45" s="1"/>
  <c r="X357" i="45"/>
  <c r="Y357" i="45" s="1"/>
  <c r="X268" i="45"/>
  <c r="Y268" i="45" s="1"/>
  <c r="X192" i="45"/>
  <c r="Y192" i="45" s="1"/>
  <c r="X201" i="45"/>
  <c r="Y201" i="45" s="1"/>
  <c r="X341" i="45"/>
  <c r="Y341" i="45" s="1"/>
  <c r="O431" i="45"/>
  <c r="K69" i="20"/>
  <c r="W453" i="45"/>
  <c r="P11" i="52" l="1"/>
  <c r="T11" i="52" s="1"/>
  <c r="U11" i="52" s="1"/>
  <c r="P13" i="52"/>
  <c r="T13" i="52" s="1"/>
  <c r="U13" i="52" s="1"/>
  <c r="P9" i="52"/>
  <c r="O204" i="45"/>
  <c r="K450" i="45"/>
  <c r="X431" i="45"/>
  <c r="Y431" i="45" s="1"/>
  <c r="L69" i="20"/>
  <c r="M69" i="20"/>
  <c r="O300" i="45"/>
  <c r="O251" i="45"/>
  <c r="O69" i="45"/>
  <c r="O200" i="45"/>
  <c r="O352" i="45"/>
  <c r="O146" i="45"/>
  <c r="O383" i="45"/>
  <c r="O157" i="45"/>
  <c r="O93" i="45"/>
  <c r="O174" i="45"/>
  <c r="O381" i="45"/>
  <c r="O109" i="45"/>
  <c r="O121" i="45"/>
  <c r="O162" i="45"/>
  <c r="O62" i="45"/>
  <c r="O133" i="45"/>
  <c r="O308" i="45"/>
  <c r="O284" i="45"/>
  <c r="O130" i="45"/>
  <c r="O8" i="45"/>
  <c r="O180" i="45"/>
  <c r="O221" i="45"/>
  <c r="O293" i="45"/>
  <c r="O82" i="45"/>
  <c r="O337" i="45"/>
  <c r="O159" i="45"/>
  <c r="O448" i="45"/>
  <c r="O360" i="45"/>
  <c r="O304" i="45"/>
  <c r="T9" i="52" l="1"/>
  <c r="L453" i="45"/>
  <c r="M450" i="45"/>
  <c r="M453" i="45" s="1"/>
  <c r="X221" i="45"/>
  <c r="Y221" i="45" s="1"/>
  <c r="X174" i="45"/>
  <c r="Y174" i="45" s="1"/>
  <c r="X180" i="45"/>
  <c r="Y180" i="45" s="1"/>
  <c r="X93" i="45"/>
  <c r="Y93" i="45" s="1"/>
  <c r="X130" i="45"/>
  <c r="Y130" i="45" s="1"/>
  <c r="X383" i="45"/>
  <c r="Y383" i="45" s="1"/>
  <c r="X284" i="45"/>
  <c r="Y284" i="45" s="1"/>
  <c r="X304" i="45"/>
  <c r="Y304" i="45" s="1"/>
  <c r="X308" i="45"/>
  <c r="Y308" i="45" s="1"/>
  <c r="X146" i="45"/>
  <c r="Y146" i="45" s="1"/>
  <c r="X162" i="45"/>
  <c r="Y162" i="45" s="1"/>
  <c r="X360" i="45"/>
  <c r="Y360" i="45" s="1"/>
  <c r="X352" i="45"/>
  <c r="Y352" i="45" s="1"/>
  <c r="X448" i="45"/>
  <c r="Y448" i="45" s="1"/>
  <c r="X200" i="45"/>
  <c r="Y200" i="45" s="1"/>
  <c r="X159" i="45"/>
  <c r="Y159" i="45" s="1"/>
  <c r="X69" i="45"/>
  <c r="Y69" i="45" s="1"/>
  <c r="X121" i="45"/>
  <c r="Y121" i="45" s="1"/>
  <c r="X82" i="45"/>
  <c r="Y82" i="45" s="1"/>
  <c r="X109" i="45"/>
  <c r="Y109" i="45" s="1"/>
  <c r="X204" i="45"/>
  <c r="Y204" i="45" s="1"/>
  <c r="X133" i="45"/>
  <c r="Y133" i="45" s="1"/>
  <c r="X62" i="45"/>
  <c r="Y62" i="45" s="1"/>
  <c r="X337" i="45"/>
  <c r="Y337" i="45" s="1"/>
  <c r="X251" i="45"/>
  <c r="Y251" i="45" s="1"/>
  <c r="X293" i="45"/>
  <c r="Y293" i="45" s="1"/>
  <c r="X381" i="45"/>
  <c r="Y381" i="45" s="1"/>
  <c r="X300" i="45"/>
  <c r="Y300" i="45" s="1"/>
  <c r="O69" i="20"/>
  <c r="P69" i="20" s="1"/>
  <c r="O349" i="45"/>
  <c r="O125" i="45"/>
  <c r="O46" i="45"/>
  <c r="O245" i="45"/>
  <c r="O153" i="45"/>
  <c r="O36" i="45"/>
  <c r="O420" i="45"/>
  <c r="O57" i="45"/>
  <c r="O142" i="45"/>
  <c r="K453" i="45"/>
  <c r="O429" i="45"/>
  <c r="I46" i="42"/>
  <c r="O120" i="45"/>
  <c r="O297" i="45"/>
  <c r="O179" i="45"/>
  <c r="O98" i="45"/>
  <c r="O79" i="45"/>
  <c r="O152" i="45"/>
  <c r="O92" i="45"/>
  <c r="O340" i="45"/>
  <c r="O318" i="45"/>
  <c r="O354" i="45"/>
  <c r="O405" i="45"/>
  <c r="O99" i="45"/>
  <c r="O394" i="45"/>
  <c r="O391" i="45"/>
  <c r="O151" i="45"/>
  <c r="O250" i="45"/>
  <c r="O176" i="45"/>
  <c r="O76" i="45"/>
  <c r="O324" i="45"/>
  <c r="O276" i="45"/>
  <c r="O294" i="45"/>
  <c r="O48" i="45"/>
  <c r="O95" i="45"/>
  <c r="O344" i="45"/>
  <c r="O55" i="45"/>
  <c r="O418" i="45"/>
  <c r="O328" i="45"/>
  <c r="O252" i="45"/>
  <c r="O22" i="45"/>
  <c r="O310" i="45"/>
  <c r="O415" i="45"/>
  <c r="O327" i="45"/>
  <c r="O67" i="45"/>
  <c r="O147" i="45"/>
  <c r="O141" i="45"/>
  <c r="O178" i="45"/>
  <c r="O113" i="45"/>
  <c r="O362" i="45"/>
  <c r="O410" i="45"/>
  <c r="O225" i="45"/>
  <c r="O10" i="52" s="1"/>
  <c r="O286" i="45"/>
  <c r="O212" i="45"/>
  <c r="O270" i="45"/>
  <c r="O94" i="45"/>
  <c r="O112" i="45"/>
  <c r="O351" i="45"/>
  <c r="O119" i="45"/>
  <c r="O75" i="45"/>
  <c r="O136" i="45"/>
  <c r="O371" i="45"/>
  <c r="O263" i="45"/>
  <c r="O77" i="45"/>
  <c r="O16" i="45"/>
  <c r="O248" i="45"/>
  <c r="O392" i="45"/>
  <c r="O272" i="45"/>
  <c r="O148" i="45"/>
  <c r="O246" i="45"/>
  <c r="O222" i="45"/>
  <c r="O446" i="45"/>
  <c r="O421" i="45"/>
  <c r="O442" i="45"/>
  <c r="O407" i="45"/>
  <c r="O89" i="45"/>
  <c r="O335" i="45"/>
  <c r="O40" i="45"/>
  <c r="O15" i="52" l="1"/>
  <c r="U9" i="52"/>
  <c r="O450" i="45"/>
  <c r="X310" i="45"/>
  <c r="Y310" i="45" s="1"/>
  <c r="X442" i="45"/>
  <c r="Y442" i="45" s="1"/>
  <c r="X392" i="45"/>
  <c r="Y392" i="45" s="1"/>
  <c r="X270" i="45"/>
  <c r="Y270" i="45" s="1"/>
  <c r="X415" i="45"/>
  <c r="Y415" i="45" s="1"/>
  <c r="X276" i="45"/>
  <c r="Y276" i="45" s="1"/>
  <c r="X340" i="45"/>
  <c r="Y340" i="45" s="1"/>
  <c r="X57" i="45"/>
  <c r="Y57" i="45" s="1"/>
  <c r="X40" i="45"/>
  <c r="Y40" i="45" s="1"/>
  <c r="X324" i="45"/>
  <c r="Y324" i="45" s="1"/>
  <c r="X22" i="45"/>
  <c r="Y22" i="45" s="1"/>
  <c r="X420" i="45"/>
  <c r="Y420" i="45" s="1"/>
  <c r="X89" i="45"/>
  <c r="Y89" i="45" s="1"/>
  <c r="X77" i="45"/>
  <c r="Y77" i="45" s="1"/>
  <c r="X225" i="45"/>
  <c r="Y225" i="45" s="1"/>
  <c r="X252" i="45"/>
  <c r="Y252" i="45" s="1"/>
  <c r="X176" i="45"/>
  <c r="Y176" i="45" s="1"/>
  <c r="X79" i="45"/>
  <c r="Y79" i="45" s="1"/>
  <c r="X36" i="45"/>
  <c r="Y36" i="45" s="1"/>
  <c r="X407" i="45"/>
  <c r="Y407" i="45" s="1"/>
  <c r="X263" i="45"/>
  <c r="Y263" i="45" s="1"/>
  <c r="X410" i="45"/>
  <c r="Y410" i="45" s="1"/>
  <c r="X250" i="45"/>
  <c r="Y250" i="45" s="1"/>
  <c r="X98" i="45"/>
  <c r="Y98" i="45" s="1"/>
  <c r="X153" i="45"/>
  <c r="Y153" i="45" s="1"/>
  <c r="X76" i="45"/>
  <c r="Y76" i="45" s="1"/>
  <c r="X151" i="45"/>
  <c r="Y151" i="45" s="1"/>
  <c r="X421" i="45"/>
  <c r="Y421" i="45" s="1"/>
  <c r="X248" i="45"/>
  <c r="Y248" i="45" s="1"/>
  <c r="X92" i="45"/>
  <c r="Y92" i="45" s="1"/>
  <c r="X335" i="45"/>
  <c r="Y335" i="45" s="1"/>
  <c r="X152" i="45"/>
  <c r="Y152" i="45" s="1"/>
  <c r="X328" i="45"/>
  <c r="Y328" i="45" s="1"/>
  <c r="X179" i="45"/>
  <c r="Y179" i="45" s="1"/>
  <c r="X136" i="45"/>
  <c r="Y136" i="45" s="1"/>
  <c r="X391" i="45"/>
  <c r="Y391" i="45" s="1"/>
  <c r="X46" i="45"/>
  <c r="Y46" i="45" s="1"/>
  <c r="X75" i="45"/>
  <c r="Y75" i="45" s="1"/>
  <c r="X394" i="45"/>
  <c r="Y394" i="45" s="1"/>
  <c r="X120" i="45"/>
  <c r="Y120" i="45" s="1"/>
  <c r="X222" i="45"/>
  <c r="Y222" i="45" s="1"/>
  <c r="X141" i="45"/>
  <c r="Y141" i="45" s="1"/>
  <c r="X147" i="45"/>
  <c r="Y147" i="45" s="1"/>
  <c r="X429" i="45"/>
  <c r="Y429" i="45" s="1"/>
  <c r="X371" i="45"/>
  <c r="Y371" i="45" s="1"/>
  <c r="X245" i="45"/>
  <c r="Y245" i="45" s="1"/>
  <c r="X418" i="45"/>
  <c r="Y418" i="45" s="1"/>
  <c r="X178" i="45"/>
  <c r="Y178" i="45" s="1"/>
  <c r="X246" i="45"/>
  <c r="Y246" i="45" s="1"/>
  <c r="X405" i="45"/>
  <c r="Y405" i="45" s="1"/>
  <c r="X112" i="45"/>
  <c r="Y112" i="45" s="1"/>
  <c r="X354" i="45"/>
  <c r="Y354" i="45" s="1"/>
  <c r="X212" i="45"/>
  <c r="Y212" i="45" s="1"/>
  <c r="X286" i="45"/>
  <c r="Y286" i="45" s="1"/>
  <c r="X362" i="45"/>
  <c r="Y362" i="45" s="1"/>
  <c r="X113" i="45"/>
  <c r="Y113" i="45" s="1"/>
  <c r="X297" i="45"/>
  <c r="Y297" i="45" s="1"/>
  <c r="X446" i="45"/>
  <c r="Y446" i="45" s="1"/>
  <c r="X55" i="45"/>
  <c r="Y55" i="45" s="1"/>
  <c r="X125" i="45"/>
  <c r="Y125" i="45" s="1"/>
  <c r="X119" i="45"/>
  <c r="Y119" i="45" s="1"/>
  <c r="X99" i="45"/>
  <c r="Y99" i="45" s="1"/>
  <c r="X349" i="45"/>
  <c r="Y349" i="45" s="1"/>
  <c r="X351" i="45"/>
  <c r="Y351" i="45" s="1"/>
  <c r="X95" i="45"/>
  <c r="Y95" i="45" s="1"/>
  <c r="X148" i="45"/>
  <c r="Y148" i="45" s="1"/>
  <c r="X67" i="45"/>
  <c r="Y67" i="45" s="1"/>
  <c r="X48" i="45"/>
  <c r="Y48" i="45" s="1"/>
  <c r="X272" i="45"/>
  <c r="Y272" i="45" s="1"/>
  <c r="X94" i="45"/>
  <c r="Y94" i="45" s="1"/>
  <c r="X327" i="45"/>
  <c r="Y327" i="45" s="1"/>
  <c r="X294" i="45"/>
  <c r="Y294" i="45" s="1"/>
  <c r="X318" i="45"/>
  <c r="Y318" i="45" s="1"/>
  <c r="X142" i="45"/>
  <c r="Y142" i="45" s="1"/>
  <c r="X157" i="45"/>
  <c r="X344" i="45"/>
  <c r="Y344" i="45" s="1"/>
  <c r="AI354" i="45"/>
  <c r="P10" i="52" l="1"/>
  <c r="X16" i="45"/>
  <c r="Y16" i="45" s="1"/>
  <c r="Y157" i="45"/>
  <c r="Q105" i="20"/>
  <c r="T10" i="52" l="1"/>
  <c r="P15" i="52"/>
  <c r="Q460" i="45"/>
  <c r="U10" i="52" l="1"/>
  <c r="U15" i="52" s="1"/>
  <c r="T15" i="52"/>
  <c r="L9" i="39"/>
  <c r="L12" i="39" s="1"/>
  <c r="K9" i="39" l="1"/>
  <c r="K12" i="39" s="1"/>
  <c r="N9" i="39"/>
  <c r="H45" i="44" l="1"/>
  <c r="K39" i="28"/>
  <c r="R105" i="20" l="1"/>
  <c r="S105" i="20"/>
  <c r="K94" i="20" l="1"/>
  <c r="K101" i="20" s="1"/>
  <c r="H47" i="43" l="1"/>
  <c r="L94" i="20"/>
  <c r="L101" i="20" s="1"/>
  <c r="M94" i="20"/>
  <c r="M101" i="20" s="1"/>
  <c r="O94" i="20" l="1"/>
  <c r="K105" i="20"/>
  <c r="O101" i="20" l="1"/>
  <c r="P94" i="20"/>
  <c r="L39" i="28"/>
  <c r="M39" i="28"/>
  <c r="I17" i="9" l="1"/>
  <c r="M105" i="20" l="1"/>
  <c r="L105" i="20"/>
  <c r="D7" i="9" l="1"/>
  <c r="G7" i="9" s="1"/>
  <c r="L7" i="9"/>
  <c r="D8" i="9"/>
  <c r="G8" i="9" s="1"/>
  <c r="K8" i="9"/>
  <c r="D9" i="9"/>
  <c r="D10" i="9"/>
  <c r="G9" i="9" s="1"/>
  <c r="C16" i="9"/>
  <c r="P449" i="45" l="1"/>
  <c r="T46" i="20"/>
  <c r="U46" i="20" s="1"/>
  <c r="T87" i="20"/>
  <c r="U87" i="20" s="1"/>
  <c r="X173" i="45"/>
  <c r="Y173" i="45" s="1"/>
  <c r="F8" i="9"/>
  <c r="F10" i="9"/>
  <c r="F9" i="9"/>
  <c r="H9" i="9" s="1"/>
  <c r="J8" i="9" s="1"/>
  <c r="X8" i="45" l="1"/>
  <c r="T52" i="20"/>
  <c r="U52" i="20" s="1"/>
  <c r="T21" i="20"/>
  <c r="U21" i="20" s="1"/>
  <c r="T93" i="20"/>
  <c r="T73" i="20"/>
  <c r="U73" i="20" s="1"/>
  <c r="T62" i="20"/>
  <c r="U62" i="20" s="1"/>
  <c r="T47" i="20"/>
  <c r="U47" i="20" s="1"/>
  <c r="T40" i="20"/>
  <c r="U40" i="20" s="1"/>
  <c r="T41" i="20"/>
  <c r="U41" i="20" s="1"/>
  <c r="T85" i="20"/>
  <c r="U85" i="20" s="1"/>
  <c r="H8" i="9"/>
  <c r="I8" i="9" s="1"/>
  <c r="U93" i="20" l="1"/>
  <c r="Y8" i="45"/>
  <c r="T71" i="20"/>
  <c r="U71" i="20" s="1"/>
  <c r="T97" i="20"/>
  <c r="U97" i="20" s="1"/>
  <c r="T28" i="20"/>
  <c r="U28" i="20" s="1"/>
  <c r="T38" i="20"/>
  <c r="U38" i="20" s="1"/>
  <c r="T98" i="20"/>
  <c r="U98" i="20" s="1"/>
  <c r="T61" i="20"/>
  <c r="U61" i="20" s="1"/>
  <c r="T94" i="20"/>
  <c r="U94" i="20" s="1"/>
  <c r="T79" i="20"/>
  <c r="U79" i="20" s="1"/>
  <c r="T43" i="20"/>
  <c r="U43" i="20" s="1"/>
  <c r="T48" i="20"/>
  <c r="U48" i="20" s="1"/>
  <c r="T69" i="20"/>
  <c r="U69" i="20" s="1"/>
  <c r="T59" i="20"/>
  <c r="U59" i="20" s="1"/>
  <c r="T53" i="20"/>
  <c r="U53" i="20" s="1"/>
  <c r="T10" i="20"/>
  <c r="U10" i="20" s="1"/>
  <c r="T89" i="20"/>
  <c r="U89" i="20" s="1"/>
  <c r="T29" i="20"/>
  <c r="U29" i="20" s="1"/>
  <c r="T17" i="20"/>
  <c r="U17" i="20" s="1"/>
  <c r="P7" i="28"/>
  <c r="P34" i="28" s="1"/>
  <c r="O9" i="39"/>
  <c r="O12" i="39" s="1"/>
  <c r="L11" i="9"/>
  <c r="T14" i="20" l="1"/>
  <c r="U14" i="20" s="1"/>
  <c r="P105" i="20"/>
  <c r="X172" i="45"/>
  <c r="X450" i="45" s="1"/>
  <c r="P453" i="45"/>
  <c r="P39" i="28"/>
  <c r="P8" i="51"/>
  <c r="T8" i="51" s="1"/>
  <c r="T8" i="20"/>
  <c r="T7" i="28"/>
  <c r="T34" i="28" s="1"/>
  <c r="P9" i="51"/>
  <c r="T9" i="51" s="1"/>
  <c r="U9" i="51" s="1"/>
  <c r="T9" i="39"/>
  <c r="T12" i="39" s="1"/>
  <c r="T101" i="20" l="1"/>
  <c r="T105" i="20" s="1"/>
  <c r="Y172" i="45"/>
  <c r="Y450" i="45" s="1"/>
  <c r="T39" i="28"/>
  <c r="U8" i="20"/>
  <c r="U101" i="20" s="1"/>
  <c r="U7" i="28"/>
  <c r="U34" i="28" s="1"/>
  <c r="P11" i="51"/>
  <c r="U8" i="51"/>
  <c r="U11" i="51" s="1"/>
  <c r="T11" i="51"/>
  <c r="U9" i="39"/>
  <c r="U12" i="39" s="1"/>
  <c r="U105" i="20" l="1"/>
  <c r="U39" i="28"/>
  <c r="Q459" i="45"/>
  <c r="Q462" i="45" l="1"/>
  <c r="Q463" i="45" s="1"/>
  <c r="X453" i="45"/>
  <c r="Y453" i="45" l="1"/>
  <c r="E469" i="45" s="1"/>
  <c r="E470" i="45" s="1"/>
  <c r="E472" i="45" s="1"/>
</calcChain>
</file>

<file path=xl/sharedStrings.xml><?xml version="1.0" encoding="utf-8"?>
<sst xmlns="http://schemas.openxmlformats.org/spreadsheetml/2006/main" count="5296" uniqueCount="1971">
  <si>
    <t xml:space="preserve">Empleados </t>
  </si>
  <si>
    <t>ISR</t>
  </si>
  <si>
    <t>SFS</t>
  </si>
  <si>
    <t>AFP</t>
  </si>
  <si>
    <t>TOTAL DESC.</t>
  </si>
  <si>
    <t>A PAGAR</t>
  </si>
  <si>
    <t>OTROS DESC.</t>
  </si>
  <si>
    <t>DEPENDIENTE AD.</t>
  </si>
  <si>
    <t xml:space="preserve">Sueldo Bruto </t>
  </si>
  <si>
    <t>No.</t>
  </si>
  <si>
    <t>Tabla para el Calculo Mensual Del ISR</t>
  </si>
  <si>
    <t>Escala anual</t>
  </si>
  <si>
    <t>​Rentas hasta RD$416,220.00</t>
  </si>
  <si>
    <t>​​Exent​o</t>
  </si>
  <si>
    <t>​Rentas desde RD$416,220.01 hasta RD$624,329.00</t>
  </si>
  <si>
    <t>​15% del excedente de RD$416,220.01</t>
  </si>
  <si>
    <t>​Rentas desde RD$624,329.01 hasta RD$867,123.00</t>
  </si>
  <si>
    <t>​RD$31,216.00 más el 20% del excedente de RD$624,329.01</t>
  </si>
  <si>
    <t>​Rentas desde  RD$867,123.01 en adelante</t>
  </si>
  <si>
    <t>​RD$79,776.00 más el 25% del excedente de RD$867,123.01</t>
  </si>
  <si>
    <t>​Tasa Annual</t>
  </si>
  <si>
    <t>Exento</t>
  </si>
  <si>
    <t>Tasa Mensual</t>
  </si>
  <si>
    <t>Escala Anual</t>
  </si>
  <si>
    <t>Cantidad De Meses Anual</t>
  </si>
  <si>
    <t>Mensual</t>
  </si>
  <si>
    <t>Desde</t>
  </si>
  <si>
    <t xml:space="preserve">Salarios Comprendido entre </t>
  </si>
  <si>
    <t>Hasta</t>
  </si>
  <si>
    <t xml:space="preserve">En adelante </t>
  </si>
  <si>
    <t>Porcentaje</t>
  </si>
  <si>
    <t>Excedente Mensual</t>
  </si>
  <si>
    <t>15% del excedente de RD$34,685.01</t>
  </si>
  <si>
    <t>RD$6,647.93 mas el 25% del excedente de RD$72,260.26</t>
  </si>
  <si>
    <t>RD$2,601.36 mas el 20% del excedente de RD$52,027.43</t>
  </si>
  <si>
    <t>Tabla extraída de la DGII</t>
  </si>
  <si>
    <t>Salario Neto para Calculo del ISR</t>
  </si>
  <si>
    <t>Total AFP y SFS</t>
  </si>
  <si>
    <t>Calculo AFP y SFS</t>
  </si>
  <si>
    <t>Tabla extraída de la TSS</t>
  </si>
  <si>
    <t>Salario Tope Mensual</t>
  </si>
  <si>
    <t>Total RD$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</si>
  <si>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</si>
  <si>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 xml:space="preserve">Devolución de Gastos Educativos </t>
  </si>
  <si>
    <t>CENTRO DE ATENCION INTEGRAL PARA LA DISCAPACIDAD</t>
  </si>
  <si>
    <t>Cédula de Identidad</t>
  </si>
  <si>
    <t>Género</t>
  </si>
  <si>
    <t>Tipo de Nómina</t>
  </si>
  <si>
    <t>001-0197811-2</t>
  </si>
  <si>
    <t>031-0412813-1</t>
  </si>
  <si>
    <t>047-0191460-0</t>
  </si>
  <si>
    <t>402-0894592-9</t>
  </si>
  <si>
    <t>402-1862139-5</t>
  </si>
  <si>
    <t>012-0080119-7</t>
  </si>
  <si>
    <t>031-0338378-6</t>
  </si>
  <si>
    <t>001-1661803-4</t>
  </si>
  <si>
    <t>128-0000871-1</t>
  </si>
  <si>
    <t>002-0153993-9</t>
  </si>
  <si>
    <t>402-2461625-6</t>
  </si>
  <si>
    <t>001-1087217-3</t>
  </si>
  <si>
    <t>048-0037363-3</t>
  </si>
  <si>
    <t>016-0016620-9</t>
  </si>
  <si>
    <t>223-0007120-0</t>
  </si>
  <si>
    <t>031-0438960-0</t>
  </si>
  <si>
    <t>001-1138911-0</t>
  </si>
  <si>
    <t>402-2732641-6</t>
  </si>
  <si>
    <t>ADALGIZA RAFAELA ARIAS REYES</t>
  </si>
  <si>
    <t>ADELA MARIA ORTEGA JIMENEZ</t>
  </si>
  <si>
    <t>ADELINE PAGAN</t>
  </si>
  <si>
    <t>AIMEE JOHANNY DE JESUS BEATO FERNANDEZ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</si>
  <si>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</si>
  <si>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</si>
  <si>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</si>
  <si>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</si>
  <si>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</si>
  <si>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ALEJANDRO ANTONIO MEDINA CUEVAS</t>
  </si>
  <si>
    <t>ALEXANDRA MARIA GUZMAN JIMENEZ</t>
  </si>
  <si>
    <t>ALEXIS LARRAURI HERNANDEZ</t>
  </si>
  <si>
    <t>ALISANDRA MARGARITA MARTINEZ SANTANA</t>
  </si>
  <si>
    <t>AMANDA DEL PILAR PEÑA CABALLERO</t>
  </si>
  <si>
    <t>AMBIORIX SUERO SUERO</t>
  </si>
  <si>
    <t>ANA CRISTINA MORALES VENTURA</t>
  </si>
  <si>
    <t>ANA GLUSENYS LORENZO DE LA ROSA</t>
  </si>
  <si>
    <t>ANA MARIA PAYANO CABRERA</t>
  </si>
  <si>
    <t>ANA MILAGROS ANGOMAS VALDEZ</t>
  </si>
  <si>
    <t>Femenino</t>
  </si>
  <si>
    <t>Masculino</t>
  </si>
  <si>
    <t>FIJO</t>
  </si>
  <si>
    <t>PERSONAL DE VIGILANCIA</t>
  </si>
  <si>
    <t>200010231531963</t>
  </si>
  <si>
    <t>9603479708</t>
  </si>
  <si>
    <t>200010231957424</t>
  </si>
  <si>
    <t>9604162690</t>
  </si>
  <si>
    <t>200010231989984</t>
  </si>
  <si>
    <t>9602281434</t>
  </si>
  <si>
    <t>200011640186814</t>
  </si>
  <si>
    <t>9603484948</t>
  </si>
  <si>
    <t>200010231993035</t>
  </si>
  <si>
    <t>200010232036755</t>
  </si>
  <si>
    <t>200010231511174</t>
  </si>
  <si>
    <t>200010231989829</t>
  </si>
  <si>
    <t>200011640196354</t>
  </si>
  <si>
    <t>9603352906</t>
  </si>
  <si>
    <t>200010231531976</t>
  </si>
  <si>
    <t>9603867660</t>
  </si>
  <si>
    <t>200010232036726</t>
  </si>
  <si>
    <t>200010231972409</t>
  </si>
  <si>
    <t>200012320599223</t>
  </si>
  <si>
    <t>200010231992971</t>
  </si>
  <si>
    <t>9603484952</t>
  </si>
  <si>
    <t>9603867627</t>
  </si>
  <si>
    <t>200019600950113</t>
  </si>
  <si>
    <t>200010231957505</t>
  </si>
  <si>
    <t>9603867697</t>
  </si>
  <si>
    <t>200019602496329</t>
  </si>
  <si>
    <t>9603834743</t>
  </si>
  <si>
    <t>200010231992942</t>
  </si>
  <si>
    <t>200019600950111</t>
  </si>
  <si>
    <t>200019600861980</t>
  </si>
  <si>
    <t>200019601705018</t>
  </si>
  <si>
    <t>200010231990009</t>
  </si>
  <si>
    <t>200019602582629</t>
  </si>
  <si>
    <t>200019601308357</t>
  </si>
  <si>
    <t>9603834761</t>
  </si>
  <si>
    <t>200010231561742</t>
  </si>
  <si>
    <t>200010231982949</t>
  </si>
  <si>
    <t>200019602510096</t>
  </si>
  <si>
    <t>200010231987339</t>
  </si>
  <si>
    <t>200019601794059</t>
  </si>
  <si>
    <t>200011202359076</t>
  </si>
  <si>
    <t>200019602582628</t>
  </si>
  <si>
    <t>200010231354726</t>
  </si>
  <si>
    <t>200019600473179</t>
  </si>
  <si>
    <t>200010231993268</t>
  </si>
  <si>
    <t>200010232036632</t>
  </si>
  <si>
    <t>200019601794058</t>
  </si>
  <si>
    <t>200010231374939</t>
  </si>
  <si>
    <t>200010231963544</t>
  </si>
  <si>
    <t>200010231684425</t>
  </si>
  <si>
    <t>200019600950110</t>
  </si>
  <si>
    <t>200010231985234</t>
  </si>
  <si>
    <t>200010232038494</t>
  </si>
  <si>
    <t>9603484954</t>
  </si>
  <si>
    <t>200010231972483</t>
  </si>
  <si>
    <t>9604162737</t>
  </si>
  <si>
    <t>200019600784858</t>
  </si>
  <si>
    <t>200019602582630</t>
  </si>
  <si>
    <t>200010231993080</t>
  </si>
  <si>
    <t>200011000997320</t>
  </si>
  <si>
    <t>200019600688964</t>
  </si>
  <si>
    <t>200010231993417</t>
  </si>
  <si>
    <t>200019601520827</t>
  </si>
  <si>
    <t>200019601705019</t>
  </si>
  <si>
    <t>200010232048031</t>
  </si>
  <si>
    <t>200019602510095</t>
  </si>
  <si>
    <t>9604256191</t>
  </si>
  <si>
    <t>200010231514207</t>
  </si>
  <si>
    <t>200010231666731</t>
  </si>
  <si>
    <t>200010231989942</t>
  </si>
  <si>
    <t>200010231362721</t>
  </si>
  <si>
    <t>200019600081790</t>
  </si>
  <si>
    <t>200019602582620</t>
  </si>
  <si>
    <t>200010231354632</t>
  </si>
  <si>
    <t>200019600784859</t>
  </si>
  <si>
    <t>200011201207718</t>
  </si>
  <si>
    <t>9603479705</t>
  </si>
  <si>
    <t>200010231372012</t>
  </si>
  <si>
    <t>9604256216</t>
  </si>
  <si>
    <t>200019601224640</t>
  </si>
  <si>
    <t>9602956638</t>
  </si>
  <si>
    <t>200010232036687</t>
  </si>
  <si>
    <t>200019601958160</t>
  </si>
  <si>
    <t>200010231987397</t>
  </si>
  <si>
    <t>200011202415059</t>
  </si>
  <si>
    <t>200010232057255</t>
  </si>
  <si>
    <t>200010231972438</t>
  </si>
  <si>
    <t>200010232028022</t>
  </si>
  <si>
    <t>9603834851</t>
  </si>
  <si>
    <t>9603990118</t>
  </si>
  <si>
    <t>9603834735</t>
  </si>
  <si>
    <t>200010232010315</t>
  </si>
  <si>
    <t>200010231374900</t>
  </si>
  <si>
    <t>200010231694813</t>
  </si>
  <si>
    <t>200019602582623</t>
  </si>
  <si>
    <t>200019601958158</t>
  </si>
  <si>
    <t>200019600276541</t>
  </si>
  <si>
    <t>9604162759</t>
  </si>
  <si>
    <t>200010231989816</t>
  </si>
  <si>
    <t>9604162707</t>
  </si>
  <si>
    <t>200010231985205</t>
  </si>
  <si>
    <t>200010231554458</t>
  </si>
  <si>
    <t>200019600971284</t>
  </si>
  <si>
    <t>9604076296</t>
  </si>
  <si>
    <t>200019602230612</t>
  </si>
  <si>
    <t>200010232041083</t>
  </si>
  <si>
    <t>200010231957547</t>
  </si>
  <si>
    <t>9604076317</t>
  </si>
  <si>
    <t>200019600678756</t>
  </si>
  <si>
    <t>200019601958159</t>
  </si>
  <si>
    <t>200019601958161</t>
  </si>
  <si>
    <t>200010231991121</t>
  </si>
  <si>
    <t>200010231985218</t>
  </si>
  <si>
    <t>200010231985166</t>
  </si>
  <si>
    <t>200019600950114</t>
  </si>
  <si>
    <t>200010231972386</t>
  </si>
  <si>
    <t>200019600611839</t>
  </si>
  <si>
    <t>200019602211081</t>
  </si>
  <si>
    <t>200011640159935</t>
  </si>
  <si>
    <t>200012800498036</t>
  </si>
  <si>
    <t>9604162699</t>
  </si>
  <si>
    <t>200010232057307</t>
  </si>
  <si>
    <t>200010232048015</t>
  </si>
  <si>
    <t>200010830090777</t>
  </si>
  <si>
    <t>200010231377004</t>
  </si>
  <si>
    <t>9603479707</t>
  </si>
  <si>
    <t>9603484951</t>
  </si>
  <si>
    <t>200010232044682</t>
  </si>
  <si>
    <t>200010232036674</t>
  </si>
  <si>
    <t>200010231647611</t>
  </si>
  <si>
    <t>200012404467102</t>
  </si>
  <si>
    <t>9604076260</t>
  </si>
  <si>
    <t>200019602278568</t>
  </si>
  <si>
    <t>9604256192</t>
  </si>
  <si>
    <t>200019600101935</t>
  </si>
  <si>
    <t>200010232036629</t>
  </si>
  <si>
    <t>200010232038481</t>
  </si>
  <si>
    <t>200011202431619</t>
  </si>
  <si>
    <t>200019602131390</t>
  </si>
  <si>
    <t>200010231993459</t>
  </si>
  <si>
    <t>200010231993420</t>
  </si>
  <si>
    <t>200019601128721</t>
  </si>
  <si>
    <t>200019600017800</t>
  </si>
  <si>
    <t>200010231695029</t>
  </si>
  <si>
    <t>200019600611833</t>
  </si>
  <si>
    <t>200019600611837</t>
  </si>
  <si>
    <t>200010231987355</t>
  </si>
  <si>
    <t>200010231371990</t>
  </si>
  <si>
    <t>200019601039935</t>
  </si>
  <si>
    <t>200010232036645</t>
  </si>
  <si>
    <t>200010231989955</t>
  </si>
  <si>
    <t>200019600276544</t>
  </si>
  <si>
    <t>200010110986771</t>
  </si>
  <si>
    <t>200019600081799</t>
  </si>
  <si>
    <t>200011680127679</t>
  </si>
  <si>
    <t>9603475291</t>
  </si>
  <si>
    <t>200019601958165</t>
  </si>
  <si>
    <t>200010232010344</t>
  </si>
  <si>
    <t>200010231963405</t>
  </si>
  <si>
    <t>200010231994199</t>
  </si>
  <si>
    <t>200019601520830</t>
  </si>
  <si>
    <t>200010231514168</t>
  </si>
  <si>
    <t>200019600434548</t>
  </si>
  <si>
    <t>200010302023603</t>
  </si>
  <si>
    <t>200010231514362</t>
  </si>
  <si>
    <t>200010231685246</t>
  </si>
  <si>
    <t>9604162731</t>
  </si>
  <si>
    <t>9603479702</t>
  </si>
  <si>
    <t>200019600861978</t>
  </si>
  <si>
    <t>200010231369960</t>
  </si>
  <si>
    <t>200019600085927</t>
  </si>
  <si>
    <t>200019600085066</t>
  </si>
  <si>
    <t>9604162738</t>
  </si>
  <si>
    <t>200011001118140</t>
  </si>
  <si>
    <t>200010231525270</t>
  </si>
  <si>
    <t>200010231993433</t>
  </si>
  <si>
    <t>200019601224642</t>
  </si>
  <si>
    <t>200010231987368</t>
  </si>
  <si>
    <t>200019602496323</t>
  </si>
  <si>
    <t>200010231514061</t>
  </si>
  <si>
    <t>200010232032500</t>
  </si>
  <si>
    <t>200010232041135</t>
  </si>
  <si>
    <t>200010231370836</t>
  </si>
  <si>
    <t>200019602219043</t>
  </si>
  <si>
    <t>200010231340264</t>
  </si>
  <si>
    <t>200019601876409</t>
  </si>
  <si>
    <t>200010231993802</t>
  </si>
  <si>
    <t>200010231918065</t>
  </si>
  <si>
    <t>200010231280162</t>
  </si>
  <si>
    <t>200010231989890</t>
  </si>
  <si>
    <t>200010231989845</t>
  </si>
  <si>
    <t>200010231370043</t>
  </si>
  <si>
    <t>200019602211082</t>
  </si>
  <si>
    <t>9603867688</t>
  </si>
  <si>
    <t>200010231872596</t>
  </si>
  <si>
    <t>200010231331668</t>
  </si>
  <si>
    <t>200010232036616</t>
  </si>
  <si>
    <t>200010231987342</t>
  </si>
  <si>
    <t>200010231872703</t>
  </si>
  <si>
    <t>200010231383153</t>
  </si>
  <si>
    <t>200010232036331</t>
  </si>
  <si>
    <t>200010110996790</t>
  </si>
  <si>
    <t>200010231661299</t>
  </si>
  <si>
    <t>200010110700397</t>
  </si>
  <si>
    <t>200010231698699</t>
  </si>
  <si>
    <t>200019600861977</t>
  </si>
  <si>
    <t>200011700626235</t>
  </si>
  <si>
    <t>200010231993446</t>
  </si>
  <si>
    <t>200010232044747</t>
  </si>
  <si>
    <t>200010231647572</t>
  </si>
  <si>
    <t>200019602137664</t>
  </si>
  <si>
    <t>200019601308353</t>
  </si>
  <si>
    <t>200010232044666</t>
  </si>
  <si>
    <t>200019602582625</t>
  </si>
  <si>
    <t>200011620684332</t>
  </si>
  <si>
    <t>200010231370933</t>
  </si>
  <si>
    <t>200010230545390</t>
  </si>
  <si>
    <t>200010500873444</t>
  </si>
  <si>
    <t>200019600276538</t>
  </si>
  <si>
    <t>200019601128724</t>
  </si>
  <si>
    <t>200019601520829</t>
  </si>
  <si>
    <t>200019602131392</t>
  </si>
  <si>
    <t>200010232057268</t>
  </si>
  <si>
    <t>200019600784861</t>
  </si>
  <si>
    <t>9604076267</t>
  </si>
  <si>
    <t>1640612508</t>
  </si>
  <si>
    <t>200010231985247</t>
  </si>
  <si>
    <t>200019601469880</t>
  </si>
  <si>
    <t>200010231327834</t>
  </si>
  <si>
    <t>200019600784754</t>
  </si>
  <si>
    <t>200010232041096</t>
  </si>
  <si>
    <t>9603834734</t>
  </si>
  <si>
    <t>200010232044679</t>
  </si>
  <si>
    <t>9603834833</t>
  </si>
  <si>
    <t>200010231379701</t>
  </si>
  <si>
    <t>200010232057349</t>
  </si>
  <si>
    <t>200010232028161</t>
  </si>
  <si>
    <t>200010301425493</t>
  </si>
  <si>
    <t>9603479706</t>
  </si>
  <si>
    <t>200010231993129</t>
  </si>
  <si>
    <t>200010231972454</t>
  </si>
  <si>
    <t>200010231654510</t>
  </si>
  <si>
    <t>9603479703</t>
  </si>
  <si>
    <t>9603867675</t>
  </si>
  <si>
    <t>200011202054258</t>
  </si>
  <si>
    <t>200010232032490</t>
  </si>
  <si>
    <t>200010231647585</t>
  </si>
  <si>
    <t>200019602582631</t>
  </si>
  <si>
    <t>200011640275877</t>
  </si>
  <si>
    <t>200019601611698</t>
  </si>
  <si>
    <t>200010231519794</t>
  </si>
  <si>
    <t>200010232036807</t>
  </si>
  <si>
    <t>9604256165</t>
  </si>
  <si>
    <t>200010230379485</t>
  </si>
  <si>
    <t>200012403364594</t>
  </si>
  <si>
    <t>9603834758</t>
  </si>
  <si>
    <t>9604076279</t>
  </si>
  <si>
    <t>012-0095052-3</t>
  </si>
  <si>
    <t>001-1169414-7</t>
  </si>
  <si>
    <t>012-0108341-5</t>
  </si>
  <si>
    <t>012-0107130-3</t>
  </si>
  <si>
    <t>001-1727265-8</t>
  </si>
  <si>
    <t>229-0027495-6</t>
  </si>
  <si>
    <t>066-0015554-0</t>
  </si>
  <si>
    <t>402-2602993-8</t>
  </si>
  <si>
    <t>402-2057215-6</t>
  </si>
  <si>
    <t>402-2338505-1</t>
  </si>
  <si>
    <t>055-0025752-1</t>
  </si>
  <si>
    <t>402-2376366-1</t>
  </si>
  <si>
    <t>023-0135385-6</t>
  </si>
  <si>
    <t>012-0123839-9</t>
  </si>
  <si>
    <t>012-0120324-5</t>
  </si>
  <si>
    <t>014-0021582-6</t>
  </si>
  <si>
    <t>402-2533785-2</t>
  </si>
  <si>
    <t>402-1272794-1</t>
  </si>
  <si>
    <t>001-1127384-3</t>
  </si>
  <si>
    <t>012-0113706-2</t>
  </si>
  <si>
    <t>031-0525170-0</t>
  </si>
  <si>
    <t>012-0100311-6</t>
  </si>
  <si>
    <t>001-1471783-8</t>
  </si>
  <si>
    <t>031-0151565-2</t>
  </si>
  <si>
    <t>402-3066472-0</t>
  </si>
  <si>
    <t>001-1861711-7</t>
  </si>
  <si>
    <t>012-0094062-3</t>
  </si>
  <si>
    <t>031-0364711-5</t>
  </si>
  <si>
    <t>012-0099944-7</t>
  </si>
  <si>
    <t>031-0461701-8</t>
  </si>
  <si>
    <t>001-0762727-5</t>
  </si>
  <si>
    <t>032-0001684-2</t>
  </si>
  <si>
    <t>031-0472258-6</t>
  </si>
  <si>
    <t>012-0101355-2</t>
  </si>
  <si>
    <t>402-2041152-0</t>
  </si>
  <si>
    <t>015-0004949-7</t>
  </si>
  <si>
    <t>402-2488606-5</t>
  </si>
  <si>
    <t>012-0120888-9</t>
  </si>
  <si>
    <t>001-1826566-9</t>
  </si>
  <si>
    <t>094-0017292-1</t>
  </si>
  <si>
    <t>402-0992449-3</t>
  </si>
  <si>
    <t>031-0514815-3</t>
  </si>
  <si>
    <t>012-0100783-6</t>
  </si>
  <si>
    <t>022-0021497-7</t>
  </si>
  <si>
    <t>031-0520366-9</t>
  </si>
  <si>
    <t>402-2464297-1</t>
  </si>
  <si>
    <t>402-2536127-4</t>
  </si>
  <si>
    <t>012-0108980-0</t>
  </si>
  <si>
    <t>031-0536245-7</t>
  </si>
  <si>
    <t>402-2464266-6</t>
  </si>
  <si>
    <t>224-0008716-3</t>
  </si>
  <si>
    <t>001-1920124-2</t>
  </si>
  <si>
    <t>021-0008978-4</t>
  </si>
  <si>
    <t>001-1505954-5</t>
  </si>
  <si>
    <t>001-1807430-1</t>
  </si>
  <si>
    <t>012-0118829-7</t>
  </si>
  <si>
    <t>001-1034260-7</t>
  </si>
  <si>
    <t>402-2305236-2</t>
  </si>
  <si>
    <t>031-0294855-5</t>
  </si>
  <si>
    <t>012-0107152-7</t>
  </si>
  <si>
    <t>001-0696657-5</t>
  </si>
  <si>
    <t>001-1507847-9</t>
  </si>
  <si>
    <t>402-2539837-5</t>
  </si>
  <si>
    <t>223-0122401-4</t>
  </si>
  <si>
    <t>037-0064634-6</t>
  </si>
  <si>
    <t>031-0234124-9</t>
  </si>
  <si>
    <t>078-0013522-5</t>
  </si>
  <si>
    <t>031-0562670-3</t>
  </si>
  <si>
    <t>012-0068592-1</t>
  </si>
  <si>
    <t>012-0070377-3</t>
  </si>
  <si>
    <t>031-0382267-6</t>
  </si>
  <si>
    <t>402-2146274-6</t>
  </si>
  <si>
    <t>031-0404552-5</t>
  </si>
  <si>
    <t>001-0768423-5</t>
  </si>
  <si>
    <t>031-0506435-0</t>
  </si>
  <si>
    <t>013-0043705-8</t>
  </si>
  <si>
    <t>044-0023176-9</t>
  </si>
  <si>
    <t>012-0116892-7</t>
  </si>
  <si>
    <t>012-0018810-8</t>
  </si>
  <si>
    <t>001-0772158-1</t>
  </si>
  <si>
    <t>001-0726505-0</t>
  </si>
  <si>
    <t>402-2062400-7</t>
  </si>
  <si>
    <t>402-2253041-8</t>
  </si>
  <si>
    <t>013-0013648-6</t>
  </si>
  <si>
    <t>031-0448218-1</t>
  </si>
  <si>
    <t>402-1476351-4</t>
  </si>
  <si>
    <t>402-2583588-9</t>
  </si>
  <si>
    <t>402-2617702-6</t>
  </si>
  <si>
    <t>001-1937294-4</t>
  </si>
  <si>
    <t>402-3893873-8</t>
  </si>
  <si>
    <t>402-2144209-4</t>
  </si>
  <si>
    <t>031-0228762-4</t>
  </si>
  <si>
    <t>031-0507061-3</t>
  </si>
  <si>
    <t>229-0000233-2</t>
  </si>
  <si>
    <t>012-0016720-1</t>
  </si>
  <si>
    <t>001-1877817-4</t>
  </si>
  <si>
    <t>002-0183434-8</t>
  </si>
  <si>
    <t>031-0472539-9</t>
  </si>
  <si>
    <t>095-0019392-6</t>
  </si>
  <si>
    <t>110-0006399-7</t>
  </si>
  <si>
    <t>224-0050233-6</t>
  </si>
  <si>
    <t>001-1565915-3</t>
  </si>
  <si>
    <t>014-0020091-9</t>
  </si>
  <si>
    <t>109-0005577-2</t>
  </si>
  <si>
    <t>012-0102740-4</t>
  </si>
  <si>
    <t>012-0089805-2</t>
  </si>
  <si>
    <t>001-1503206-2</t>
  </si>
  <si>
    <t>061-0026905-6</t>
  </si>
  <si>
    <t>031-0031187-1</t>
  </si>
  <si>
    <t>093-0074228-6</t>
  </si>
  <si>
    <t>012-0102627-3</t>
  </si>
  <si>
    <t>018-0065536-5</t>
  </si>
  <si>
    <t>001-1725632-1</t>
  </si>
  <si>
    <t>402-2517326-5</t>
  </si>
  <si>
    <t>224-0049885-7</t>
  </si>
  <si>
    <t>402-2355973-9</t>
  </si>
  <si>
    <t>402-2434958-5</t>
  </si>
  <si>
    <t>402-2477258-8</t>
  </si>
  <si>
    <t>402-2518498-1</t>
  </si>
  <si>
    <t>402-2173612-3</t>
  </si>
  <si>
    <t>072-0001354-3</t>
  </si>
  <si>
    <t>011-0039325-3</t>
  </si>
  <si>
    <t>402-2286397-5</t>
  </si>
  <si>
    <t>012-0116743-2</t>
  </si>
  <si>
    <t>031-0433570-2</t>
  </si>
  <si>
    <t>010-0109067-7</t>
  </si>
  <si>
    <t>402-2070672-1</t>
  </si>
  <si>
    <t>001-1170117-3</t>
  </si>
  <si>
    <t>001-1761164-0</t>
  </si>
  <si>
    <t>023-0171245-7</t>
  </si>
  <si>
    <t>012-0122210-4</t>
  </si>
  <si>
    <t>082-0024003-7</t>
  </si>
  <si>
    <t>402-2264719-6</t>
  </si>
  <si>
    <t>001-0176302-7</t>
  </si>
  <si>
    <t>001-1910106-1</t>
  </si>
  <si>
    <t>224-0043770-7</t>
  </si>
  <si>
    <t>049-0078355-8</t>
  </si>
  <si>
    <t>229-0011496-2</t>
  </si>
  <si>
    <t>054-0061107-4</t>
  </si>
  <si>
    <t>031-0098547-6</t>
  </si>
  <si>
    <t>011-0009570-0</t>
  </si>
  <si>
    <t>012-0002719-9</t>
  </si>
  <si>
    <t>002-0057547-0</t>
  </si>
  <si>
    <t>044-0013095-3</t>
  </si>
  <si>
    <t>113-0000006-1</t>
  </si>
  <si>
    <t>001-1862064-0</t>
  </si>
  <si>
    <t>001-1716118-2</t>
  </si>
  <si>
    <t>402-3632316-4</t>
  </si>
  <si>
    <t>047-0058476-8</t>
  </si>
  <si>
    <t>031-0206980-8</t>
  </si>
  <si>
    <t>001-0079941-0</t>
  </si>
  <si>
    <t>012-0110592-9</t>
  </si>
  <si>
    <t>031-0467089-2</t>
  </si>
  <si>
    <t>012-0126883-4</t>
  </si>
  <si>
    <t>001-1351473-1</t>
  </si>
  <si>
    <t>001-1277079-7</t>
  </si>
  <si>
    <t>224-0062380-1</t>
  </si>
  <si>
    <t>224-0040830-2</t>
  </si>
  <si>
    <t>012-0105771-6</t>
  </si>
  <si>
    <t>402-1528303-3</t>
  </si>
  <si>
    <t>001-0248496-1</t>
  </si>
  <si>
    <t>402-2282148-6</t>
  </si>
  <si>
    <t>012-0049066-0</t>
  </si>
  <si>
    <t>001-1283435-3</t>
  </si>
  <si>
    <t>155-0000530-9</t>
  </si>
  <si>
    <t>001-1018219-3</t>
  </si>
  <si>
    <t>229-0026599-6</t>
  </si>
  <si>
    <t>001-1936595-5</t>
  </si>
  <si>
    <t>011-0043398-4</t>
  </si>
  <si>
    <t>001-1639733-2</t>
  </si>
  <si>
    <t>095-0000589-8</t>
  </si>
  <si>
    <t>402-2147244-8</t>
  </si>
  <si>
    <t>402-2491620-1</t>
  </si>
  <si>
    <t>001-0780566-5</t>
  </si>
  <si>
    <t>402-0056122-9</t>
  </si>
  <si>
    <t>001-0063569-7</t>
  </si>
  <si>
    <t>037-0089204-9</t>
  </si>
  <si>
    <t>001-1298856-3</t>
  </si>
  <si>
    <t>012-0005016-7</t>
  </si>
  <si>
    <t>001-1106182-6</t>
  </si>
  <si>
    <t>225-0083463-9</t>
  </si>
  <si>
    <t>001-0958943-2</t>
  </si>
  <si>
    <t>031-0070702-9</t>
  </si>
  <si>
    <t>055-0016535-1</t>
  </si>
  <si>
    <t>001-1847985-6</t>
  </si>
  <si>
    <t>001-0082780-7</t>
  </si>
  <si>
    <t>031-0411037-8</t>
  </si>
  <si>
    <t>056-0131767-9</t>
  </si>
  <si>
    <t>095-0019389-2</t>
  </si>
  <si>
    <t>402-2396488-9</t>
  </si>
  <si>
    <t>031-0221137-6</t>
  </si>
  <si>
    <t>001-1799088-7</t>
  </si>
  <si>
    <t>012-0103721-3</t>
  </si>
  <si>
    <t>001-1880723-9</t>
  </si>
  <si>
    <t>402-2228428-9</t>
  </si>
  <si>
    <t>402-2588291-5</t>
  </si>
  <si>
    <t>223-0073532-5</t>
  </si>
  <si>
    <t>001-0261216-5</t>
  </si>
  <si>
    <t>001-1414101-3</t>
  </si>
  <si>
    <t>047-0145696-6</t>
  </si>
  <si>
    <t>072-0009161-4</t>
  </si>
  <si>
    <t>001-1835743-3</t>
  </si>
  <si>
    <t>031-0518834-0</t>
  </si>
  <si>
    <t>001-0698666-4</t>
  </si>
  <si>
    <t>402-2164535-7</t>
  </si>
  <si>
    <t>402-2425040-3</t>
  </si>
  <si>
    <t>031-0509475-3</t>
  </si>
  <si>
    <t>054-0116974-2</t>
  </si>
  <si>
    <t>010-0089131-5</t>
  </si>
  <si>
    <t>031-0507858-2</t>
  </si>
  <si>
    <t>010-0111562-3</t>
  </si>
  <si>
    <t>402-2274610-5</t>
  </si>
  <si>
    <t>001-1002334-8</t>
  </si>
  <si>
    <t>012-0016275-6</t>
  </si>
  <si>
    <t>001-0096300-8</t>
  </si>
  <si>
    <t>031-0463820-4</t>
  </si>
  <si>
    <t>402-2076106-4</t>
  </si>
  <si>
    <t>001-1587468-7</t>
  </si>
  <si>
    <t>012-0006041-4</t>
  </si>
  <si>
    <t>031-0288055-0</t>
  </si>
  <si>
    <t>001-0132080-2</t>
  </si>
  <si>
    <t>001-1336588-6</t>
  </si>
  <si>
    <t>402-2460982-2</t>
  </si>
  <si>
    <t>012-0120559-6</t>
  </si>
  <si>
    <t>224-0034561-1</t>
  </si>
  <si>
    <t>001-1325242-3</t>
  </si>
  <si>
    <t>402-2039650-7</t>
  </si>
  <si>
    <t>031-0350888-7</t>
  </si>
  <si>
    <t>224-0057980-5</t>
  </si>
  <si>
    <t>001-1831076-2</t>
  </si>
  <si>
    <t>402-2795849-9</t>
  </si>
  <si>
    <t>001-1795500-5</t>
  </si>
  <si>
    <t>402-2484531-9</t>
  </si>
  <si>
    <t>001-0173047-1</t>
  </si>
  <si>
    <t>012-0114656-8</t>
  </si>
  <si>
    <t>094-0014056-3</t>
  </si>
  <si>
    <t>001-1678113-9</t>
  </si>
  <si>
    <t>001-1660266-5</t>
  </si>
  <si>
    <t>031-0330206-7</t>
  </si>
  <si>
    <t>402-2322270-0</t>
  </si>
  <si>
    <t>ANA SILVIA MATEO RODRIGUEZ</t>
  </si>
  <si>
    <t>ANATALIO MARTINEZ CABRERA</t>
  </si>
  <si>
    <t>ANDUJAL MONTERO</t>
  </si>
  <si>
    <t>ANERFIN VICENTE MORILLO</t>
  </si>
  <si>
    <t>ANGEL ELPIDIO MEDINA JIMENEZ</t>
  </si>
  <si>
    <t>ANGELICA MARIA DE LOS SANTOS REYES</t>
  </si>
  <si>
    <t>ANTHONY JOAN ROSARIO SANCHEZ</t>
  </si>
  <si>
    <t>ANYELINA RYMER PARRA</t>
  </si>
  <si>
    <t>ANYELIS SANCHEZ SOLANO</t>
  </si>
  <si>
    <t>ARAMIS RAFAEL RAMOS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</si>
  <si>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</si>
  <si>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</si>
  <si>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</si>
  <si>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</si>
  <si>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</si>
  <si>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BRINISAIDA MONTERO LARA</t>
  </si>
  <si>
    <t>BRISELINA MONTERO ENCARNACION</t>
  </si>
  <si>
    <t>CAMILA PEÑA CONTRERAS</t>
  </si>
  <si>
    <t>CANDY ALTAGRACIA TORIBIO VENTURA</t>
  </si>
  <si>
    <t>CARLOS JOSE MATEO SALAZAR</t>
  </si>
  <si>
    <t>CARLOS MANUEL GARCIA DE LOS SANTOS</t>
  </si>
  <si>
    <t>CARMEN REYES PERALTA</t>
  </si>
  <si>
    <t>CARMEN ELISA BUENO TAVARES</t>
  </si>
  <si>
    <t>CARMEN MERCEDES DE LEON RAMIREZ</t>
  </si>
  <si>
    <t>CARMEN NEREIDA PEÑA INOA</t>
  </si>
  <si>
    <t>CAROLINE PORTES CEPEDA</t>
  </si>
  <si>
    <t>CAROLINE MASSIEL RODRIGUEZ VIDAL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</si>
  <si>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</si>
  <si>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</si>
  <si>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</si>
  <si>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</si>
  <si>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</si>
  <si>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</si>
  <si>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CUEVAS COELHO</t>
  </si>
  <si>
    <t>CLAUDIA MORA PANIAGUA</t>
  </si>
  <si>
    <t>CLAUDINA NICOLE ALVAREZ VIDAL</t>
  </si>
  <si>
    <t>DANIEL ESPINOSA SUERO</t>
  </si>
  <si>
    <t>DARWIN EDUARDO RODRIGUEZ</t>
  </si>
  <si>
    <t>DEYVI ERNESTO DIAZ VALDEZ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</si>
  <si>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</si>
  <si>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</si>
  <si>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</si>
  <si>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</si>
  <si>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</si>
  <si>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</si>
  <si>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</si>
  <si>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</si>
  <si>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</si>
  <si>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MOQUETE ALCANTARA</t>
  </si>
  <si>
    <t>ELIZABETH ALTAGRACIA NUÑEZ NUÑEZ</t>
  </si>
  <si>
    <t>ELIZABETH DE JESUS COLON JEREZ</t>
  </si>
  <si>
    <t>EMELICE FELIZ MELO</t>
  </si>
  <si>
    <t>EMELY GUERRERO PADILLA</t>
  </si>
  <si>
    <t>EMILIO JOSE RIVERA GARO</t>
  </si>
  <si>
    <t>EMILY VIRGINIA REYES FELIZ</t>
  </si>
  <si>
    <t>ESTEFANY MARIA ARREDONDO AMARO</t>
  </si>
  <si>
    <t>ESTHER SARINY SANTIL FAMILIA</t>
  </si>
  <si>
    <t>FANNY DEL CARMEN MEREJO LANTIGUA DE DANERI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</si>
  <si>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</si>
  <si>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</si>
  <si>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</si>
  <si>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</si>
  <si>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</si>
  <si>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</si>
  <si>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 NOEL MERAN DE OLEO</t>
  </si>
  <si>
    <t>FRANCISCO ALBERTO MARTINEZ POTTER</t>
  </si>
  <si>
    <t>FREDIS MANUEL SANTANA ACOSTA</t>
  </si>
  <si>
    <t>GARY JOSE MORILLO RIVAS</t>
  </si>
  <si>
    <t>GENESIS MARTE BEATO</t>
  </si>
  <si>
    <t>GERALDINA VILLEGAS DE OLEO</t>
  </si>
  <si>
    <t>GERARDO LOPEZ</t>
  </si>
  <si>
    <t>GERONIMO ALBERTO RODRIGUEZ HERNANDEZ</t>
  </si>
  <si>
    <t>GIOVANNA D ZIRETH ALVAREZ ACOSTA</t>
  </si>
  <si>
    <t>GISELL PAOLA ROSARIO MARTINEZ DE POLLI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</si>
  <si>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</si>
  <si>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</si>
  <si>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</si>
  <si>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</si>
  <si>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</si>
  <si>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</si>
  <si>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</si>
  <si>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</si>
  <si>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</si>
  <si>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</si>
  <si>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</si>
  <si>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</si>
  <si>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</si>
  <si>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ISABELLA MARIE SANGIOVANNI NAVARRO</t>
  </si>
  <si>
    <t>JEFFREY ESMERLYN MONTERO</t>
  </si>
  <si>
    <t>JESSICA ANTONELLI ARACENA</t>
  </si>
  <si>
    <t>JHANCARLOS CEBALLOS DIAZ</t>
  </si>
  <si>
    <t>JHOANNA DE LOS SANTOS ROSARIO</t>
  </si>
  <si>
    <t>JOAQUIN ANTONIO SUVERVI HERNANDEZ FRICA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</si>
  <si>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</si>
  <si>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</si>
  <si>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</si>
  <si>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</si>
  <si>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</si>
  <si>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</si>
  <si>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</si>
  <si>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</si>
  <si>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</si>
  <si>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</si>
  <si>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</si>
  <si>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</si>
  <si>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</si>
  <si>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</si>
  <si>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</si>
  <si>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</si>
  <si>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</si>
  <si>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</si>
  <si>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</si>
  <si>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</si>
  <si>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</si>
  <si>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KARLA MARIA PEÑA ALBA</t>
  </si>
  <si>
    <t>KATHERIN ROSI MENDEZ SUERO</t>
  </si>
  <si>
    <t>KATHERINE PEGUERO RODRIGUEZ</t>
  </si>
  <si>
    <t>KATHERINNE PENELOPE ROSARIO PLASENCIA</t>
  </si>
  <si>
    <t>LAUREN JACQUELINE CORNELIO MARTE</t>
  </si>
  <si>
    <t>LEO ENRIQUE SANTANA MATEO</t>
  </si>
  <si>
    <t>LIANNA MARIA RIVERA LUCIANO</t>
  </si>
  <si>
    <t>LIDIA ALTAGRACIA ALMONTE GONZALEZ</t>
  </si>
  <si>
    <t>LIDIA VIKIANA TEJEDA VALDEZ</t>
  </si>
  <si>
    <t>LISMAYRA LOPEZ OLIVIER</t>
  </si>
  <si>
    <t>LISSETTE RODRIGUEZ AQUINO</t>
  </si>
  <si>
    <t>LISSETTE BERNARDA DE JESUS RODRIGUEZ</t>
  </si>
  <si>
    <t>LORIANNY JOSEFINA MAÑON MELO</t>
  </si>
  <si>
    <t>LUCIA OLGA GONZALEZ CORTESE</t>
  </si>
  <si>
    <t>LUIS FELIZ PIÑEYRO</t>
  </si>
  <si>
    <t>LUIS ARMANDO RIVERA ASENCIO</t>
  </si>
  <si>
    <t>LUIS DAVID ENCARNACION MONTERO</t>
  </si>
  <si>
    <t>LUIS ERNESTO DE LOS SANTOS MATEO</t>
  </si>
  <si>
    <t>LUIS JOSE MARTINEZ DE LA CRUZ</t>
  </si>
  <si>
    <t>LUIS MARIA TOLENTINO TUERO</t>
  </si>
  <si>
    <t>LUZ MAGALYS CID DE LA CRUZ STO.</t>
  </si>
  <si>
    <t>LUZ MARGARITA ACOSTA MOLINA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</si>
  <si>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</si>
  <si>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</si>
  <si>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</si>
  <si>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</si>
  <si>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</si>
  <si>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</si>
  <si>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</si>
  <si>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MARIA ARGENTINA DISLA SOLIS</t>
  </si>
  <si>
    <t>MARIA ELENA CASTILLO SANTANA</t>
  </si>
  <si>
    <t>MARIA EUGENIA CHAHIN DE LA CRUZ</t>
  </si>
  <si>
    <t>MARIA EUGENIA VILLANUEVA FELIZ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</si>
  <si>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</si>
  <si>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</si>
  <si>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</si>
  <si>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</si>
  <si>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</si>
  <si>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</si>
  <si>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</si>
  <si>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</si>
  <si>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</si>
  <si>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PEREZ</t>
  </si>
  <si>
    <t>MASSIEL FERNANDA DIAZ MERCEDES</t>
  </si>
  <si>
    <t>MAYRA SOTO CORDERO</t>
  </si>
  <si>
    <t>MERARYS MENDEZ PEÑA</t>
  </si>
  <si>
    <t>MERCEDES DEL CARMEN VARGAS FERNANDEZ</t>
  </si>
  <si>
    <t>MERCY MARIA GARCIA VARGAS</t>
  </si>
  <si>
    <t>MILADYS OTAÑO ENCARNACION</t>
  </si>
  <si>
    <t>MILAGROS DAMASO ECHAVARRIA</t>
  </si>
  <si>
    <t>MILIDELQUIS MARIA ESTEVEZ</t>
  </si>
  <si>
    <t>MIRTHA MIGUELINA HIDALGO MADERA</t>
  </si>
  <si>
    <t>MOISES FAJARDO CANARIO</t>
  </si>
  <si>
    <t>MONICA GUEVARA FELIZ</t>
  </si>
  <si>
    <t>MORELIS MONTERO</t>
  </si>
  <si>
    <t>NATALIA ESTELA AQUINO ALVAREZ</t>
  </si>
  <si>
    <t>NELSON RAFAEL GARCIA MARTINEZ</t>
  </si>
  <si>
    <t>NICOLAS FIGUEROA GIL</t>
  </si>
  <si>
    <t>NOELIA VILLARROEL ARREDONDO</t>
  </si>
  <si>
    <t>OONAGH MAY LING MOK GONZALEZ DE FELIZ</t>
  </si>
  <si>
    <t>PATRICIA MARIA DE LOURDES LOPEZ PENN</t>
  </si>
  <si>
    <t>PEDRO JOSE DURAN GUTIERREZ</t>
  </si>
  <si>
    <t>RADHY JUNOT DIAZ PEÑA</t>
  </si>
  <si>
    <t>RAFAEL DE LEON PEREZ</t>
  </si>
  <si>
    <t>RAFAEL MUÑOZ DE LA CRUZ</t>
  </si>
  <si>
    <t>RAMON BRITO CONTRERAS</t>
  </si>
  <si>
    <t>RAMON EDUARDO RIVAS PEÑA</t>
  </si>
  <si>
    <t>RAMONA AMPARO BIDO VENTURA</t>
  </si>
  <si>
    <t>RAMONA MARIA CORNIEL PICHARDO</t>
  </si>
  <si>
    <t>RAMONA MIGUELINA LARA MOSCAT</t>
  </si>
  <si>
    <t>RAQUEL MARITZA CASTILLO PAULINO</t>
  </si>
  <si>
    <t>RAQUEL MERCEDES BONILLA MONCION</t>
  </si>
  <si>
    <t>ROLANDO JOSE THEN BURGOS</t>
  </si>
  <si>
    <t>RONALD GUZMAN MARTE</t>
  </si>
  <si>
    <t>ROSA DEL ROSARIO LEBRON</t>
  </si>
  <si>
    <t>ROSA EURANIA DIAZ LOGROÑO DE PERALTA</t>
  </si>
  <si>
    <t>ROSA PAOLA THEN ALVAREZ</t>
  </si>
  <si>
    <t>ROSALY NAFTALI AGRAMONTE PIÑA</t>
  </si>
  <si>
    <t>ROSARIO LOPEZ MOTA</t>
  </si>
  <si>
    <t>ROSELY ROJAS PEREZ</t>
  </si>
  <si>
    <t>RUBEN LUIS MONTAS RAMIREZ</t>
  </si>
  <si>
    <t>RUTH ALBANIA MERCADO QUEZADA</t>
  </si>
  <si>
    <t>RUTH CELESTE BRITO CORREA</t>
  </si>
  <si>
    <t>RUTH OGAINA CARVAJAL ESPINOSA</t>
  </si>
  <si>
    <t>SALLYN BARBINA TORRES PAULINO DE GONZALEZ</t>
  </si>
  <si>
    <t>SAMUEL VALDEZ JIMENEZ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</si>
  <si>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</si>
  <si>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</si>
  <si>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</si>
  <si>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</si>
  <si>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</si>
  <si>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STEPHANY ROSANNY BATISTA PAULINO</t>
  </si>
  <si>
    <t>TEODORO ENMANUEL GRULLON TEJADA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</si>
  <si>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</si>
  <si>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</si>
  <si>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</si>
  <si>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</si>
  <si>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</si>
  <si>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</si>
  <si>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AMELIA MADERA RODRIGUEZ</t>
  </si>
  <si>
    <t>VIRGINIA MARGARITA BRITO POLANCO</t>
  </si>
  <si>
    <t>VIVIANA CAROLINA JAVIER HASBUN</t>
  </si>
  <si>
    <t>WANDY MIGNOLIA MEJIA TEJEDA</t>
  </si>
  <si>
    <t>WASCAR ELIEZER SANCHEZ MATEO</t>
  </si>
  <si>
    <t>WENDY RODRIGUEZ NOVA</t>
  </si>
  <si>
    <t>WENDY AIMEE SALADIN RODRIGUEZ</t>
  </si>
  <si>
    <t>WENDY MODESTA NOVAS GUILLEN DE HINOJOSA</t>
  </si>
  <si>
    <t>WINIFER ESCARLY MENDEZ ZAPATA</t>
  </si>
  <si>
    <t>WITHER HERNANDEZ FERNANDEZ</t>
  </si>
  <si>
    <t>WITHNY ALEXANDRA QUEZADA JOVINE</t>
  </si>
  <si>
    <t>YAHILA ESPERANZA DE PEÑA MENDOZA</t>
  </si>
  <si>
    <t>YAJAIRA MELO RAMIREZ</t>
  </si>
  <si>
    <t>YAJAIRA ELIZABETH MADERA DE UREÑA</t>
  </si>
  <si>
    <t>YAMINA PORTORREAL FERMIN</t>
  </si>
  <si>
    <t>YARESNY ALTAGRACIA MORENO SANDOVAL</t>
  </si>
  <si>
    <t>YAZMIN YOCASTA CABREJA</t>
  </si>
  <si>
    <t>YEREMY YENILSA BAUTISTA ACOSTA</t>
  </si>
  <si>
    <t>YESENIA NUÑEZ HERNANDEZ</t>
  </si>
  <si>
    <t>YGUANIONA MARIA DEL C RUSSO ABREU DE MARTINEZ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</si>
  <si>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</si>
  <si>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</si>
  <si>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</si>
  <si>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</si>
  <si>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</si>
  <si>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</si>
  <si>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FECHA PRIMER CARGO</t>
  </si>
  <si>
    <t>CUENTA BANCARIA</t>
  </si>
  <si>
    <t>ENCARGADO</t>
  </si>
  <si>
    <t>MEDICO NUTRICIONISTA</t>
  </si>
  <si>
    <t>SEGURIDAD</t>
  </si>
  <si>
    <t>AGENTE SOCIAL</t>
  </si>
  <si>
    <t>ODONTOPEDIATRA</t>
  </si>
  <si>
    <t>AUXILIAR DE TERAPIA</t>
  </si>
  <si>
    <t>CONSERJE</t>
  </si>
  <si>
    <t>SOPORTE TECNICO DE INFORMATICA</t>
  </si>
  <si>
    <t>MEDICO PEDIATRA</t>
  </si>
  <si>
    <t>COORDINADOR(A) DE AREA</t>
  </si>
  <si>
    <t>TERAPEUTA</t>
  </si>
  <si>
    <t>SECRETARIA EJECUTIVA</t>
  </si>
  <si>
    <t>MEDICO FISIATRA</t>
  </si>
  <si>
    <t>EVALUADOR</t>
  </si>
  <si>
    <t>AUXILIAR ADMINISTRATIVO</t>
  </si>
  <si>
    <t>CHOFER</t>
  </si>
  <si>
    <t>AUXILIAR DE ENFERMERIA</t>
  </si>
  <si>
    <t>AYUDANTE DE MANTENIMIENTO</t>
  </si>
  <si>
    <t>RECEPCIONISTA</t>
  </si>
  <si>
    <t>ENLACE</t>
  </si>
  <si>
    <t>AUXILIAR SERVICIOS GENERALES</t>
  </si>
  <si>
    <t>NUTRICIONISTA</t>
  </si>
  <si>
    <t>SUPERVISOR DE AREA</t>
  </si>
  <si>
    <t>ASISTENTE DE SERVICIO</t>
  </si>
  <si>
    <t>SECRETARIA</t>
  </si>
  <si>
    <t>JARDINERO</t>
  </si>
  <si>
    <t>CAMAROGRAFO</t>
  </si>
  <si>
    <t>AUXILIAR DE FACTURACION Y SEGURO</t>
  </si>
  <si>
    <t>ANALISTA DE PLANIFICACION</t>
  </si>
  <si>
    <t>MEDICO DIRECTOR</t>
  </si>
  <si>
    <t>DIRECTOR  EJECUTIVO</t>
  </si>
  <si>
    <t>ANALISTA DE RECURSOS HUMANOS</t>
  </si>
  <si>
    <t>FISIATRA</t>
  </si>
  <si>
    <t>DIRECTOR NACIONAL</t>
  </si>
  <si>
    <t>MENSAJERO EXTERNO</t>
  </si>
  <si>
    <t>AUXILIAR DE ALMACEN Y SUMINISTRO</t>
  </si>
  <si>
    <t>TECNICO DENTAL</t>
  </si>
  <si>
    <t>ENCARGADO DE TECNOLOGIA DE LA INFORMACION</t>
  </si>
  <si>
    <t>MEDICO PSIQUIATRA</t>
  </si>
  <si>
    <t>Definición de Cargo</t>
  </si>
  <si>
    <t>SFS
3.04%</t>
  </si>
  <si>
    <t>AFP
2.87%</t>
  </si>
  <si>
    <t>Total NOMINA REPORTE SASP RD$</t>
  </si>
  <si>
    <t>PALOMA DIVINA BATISTA RODRIGUEZ</t>
  </si>
  <si>
    <t>001-1813757-9</t>
  </si>
  <si>
    <t>LUZ MASSIEL AGUERO LAGARES</t>
  </si>
  <si>
    <t>225-0091803-6</t>
  </si>
  <si>
    <t>402-2583601-0</t>
  </si>
  <si>
    <t>KATHERINE TRINIDAD ARIAS</t>
  </si>
  <si>
    <t>031-0503484-1</t>
  </si>
  <si>
    <t>AMELFI DEL CARMEN HERRERA</t>
  </si>
  <si>
    <t>223-0112996-5</t>
  </si>
  <si>
    <t>RAMONA TOLENTINO</t>
  </si>
  <si>
    <t>CLAUDIA ARGENTINA GRULLON OGANDO</t>
  </si>
  <si>
    <t>9604256200</t>
  </si>
  <si>
    <t>9604352632</t>
  </si>
  <si>
    <t>9604256241</t>
  </si>
  <si>
    <t>9604256167</t>
  </si>
  <si>
    <t>9604256221</t>
  </si>
  <si>
    <t>9604352611</t>
  </si>
  <si>
    <t>SRL</t>
  </si>
  <si>
    <t>Total</t>
  </si>
  <si>
    <t>001-0812717-6</t>
  </si>
  <si>
    <t>MARLENY ARISTY ALMONTE</t>
  </si>
  <si>
    <t>ENC. ADMINISTRATIVO Y FINANCIERO</t>
  </si>
  <si>
    <t>FECHA TERMINO CONTRATO</t>
  </si>
  <si>
    <t>001-0956895-6</t>
  </si>
  <si>
    <t>ANALISTA FINANCIERO</t>
  </si>
  <si>
    <t>402-2113122-6</t>
  </si>
  <si>
    <t>AMPARO MARIA SOLIS CUEVA</t>
  </si>
  <si>
    <t>EVENTUAL</t>
  </si>
  <si>
    <t>223-0151136-0</t>
  </si>
  <si>
    <t>KARINA ELIZABETH SEPULVEDA RAMOS</t>
  </si>
  <si>
    <t>001-1120126-5</t>
  </si>
  <si>
    <t>ROXANNA CASTRO AGUILERA</t>
  </si>
  <si>
    <t>YANMARI YASSIEL GERALDO MUÑOZ</t>
  </si>
  <si>
    <t>DISEÑADOR GRAFICO</t>
  </si>
  <si>
    <t>402-2820124-6</t>
  </si>
  <si>
    <t>ADA PAOLA GONZALEZ ANTUNA</t>
  </si>
  <si>
    <t>402-2554125-5</t>
  </si>
  <si>
    <t>ASISTENTE DE DESPACHO</t>
  </si>
  <si>
    <t>402-3205304-7</t>
  </si>
  <si>
    <t>CAROLIN ELISA SUERO PEREZ</t>
  </si>
  <si>
    <t>MELANIA DE LOS DOLORES JEAN ARNOT</t>
  </si>
  <si>
    <t>223-0119024-9</t>
  </si>
  <si>
    <t>031-0115844-6</t>
  </si>
  <si>
    <t>ANA MATILDE DEL C. DE JESUS MERA NUÑEZ</t>
  </si>
  <si>
    <t>TEMPORAL</t>
  </si>
  <si>
    <t>COORDINADORA ADMINISTRATIVO Y FINANCIERO</t>
  </si>
  <si>
    <t>JESEE RICARDO ORTEGA GAUTREAUX</t>
  </si>
  <si>
    <t>ADMINISTRADOR PAGINA WEB</t>
  </si>
  <si>
    <t>402-2075577-7</t>
  </si>
  <si>
    <t>INGRID EDITH AGRAMONTE GOMEZ</t>
  </si>
  <si>
    <t>402-2770770-6</t>
  </si>
  <si>
    <t>COORDINADOR (A) DESPACHO</t>
  </si>
  <si>
    <t>AUXILIAR DE CITAS</t>
  </si>
  <si>
    <t>402-0921778-1</t>
  </si>
  <si>
    <t>ESMERLYN MARIA JOSE RODRIGUEZ DE LA CRUZ</t>
  </si>
  <si>
    <t>031-0332545-6</t>
  </si>
  <si>
    <t>402-2519247-1</t>
  </si>
  <si>
    <t>MERARI MERCEDES GUERRERO</t>
  </si>
  <si>
    <t>031-0553200-0</t>
  </si>
  <si>
    <t>NATALIA RAFAELA BENOIT NUÑEZ</t>
  </si>
  <si>
    <t>ODONTOPEDIATRIA</t>
  </si>
  <si>
    <t>031-0567180-8</t>
  </si>
  <si>
    <t>ALEXAIRA VASQUEZ TOLENTINO</t>
  </si>
  <si>
    <t>CAJERA</t>
  </si>
  <si>
    <t>402-2011282-1</t>
  </si>
  <si>
    <t>ROSANNY JOSEFINA NUÑEZ TOLENTINO</t>
  </si>
  <si>
    <t>PERIODISTA</t>
  </si>
  <si>
    <t>001-1917478-7</t>
  </si>
  <si>
    <t>ENCARGADA DIVISION DE COOPERACION INTERNACIONAL</t>
  </si>
  <si>
    <t>402-0061705-4</t>
  </si>
  <si>
    <t>ANDREW FERRERAS DE OLEO</t>
  </si>
  <si>
    <t>402-2018457-2</t>
  </si>
  <si>
    <t>225-0020978-2</t>
  </si>
  <si>
    <t>INDHIRA PAMELA PLASENCIO AGUASVIVAS</t>
  </si>
  <si>
    <t>TERAPEUTA ATENCION TEMPRANA</t>
  </si>
  <si>
    <t>ENCARGADA SECCION TRABAJO SOCIAL</t>
  </si>
  <si>
    <t>ASISTENTE DE ATENCION TEMPRANA</t>
  </si>
  <si>
    <t>ASISTENTE SERVICIO SOCIAL</t>
  </si>
  <si>
    <t>AUXILIAR INTERVENCION CONDUCTUAL</t>
  </si>
  <si>
    <t>TERAPEUTA DEL HABLA Y DEL LENGUAJE</t>
  </si>
  <si>
    <t>ASISTENTE APOYO PSICOPEDAGOGICO</t>
  </si>
  <si>
    <t>402-3927658-3</t>
  </si>
  <si>
    <t>MELISSA TORRES SANCHEZ</t>
  </si>
  <si>
    <t>031-0172767-9</t>
  </si>
  <si>
    <t>ALEYDA MERCEDES BATISTA PEÑA</t>
  </si>
  <si>
    <t>402-2022285-1</t>
  </si>
  <si>
    <t>YARENI ERCILIA TORRES ECHAVARRIA</t>
  </si>
  <si>
    <t>ASISTENTE DIRECTOR</t>
  </si>
  <si>
    <t>001-1621201-0</t>
  </si>
  <si>
    <t>BERLY RAMONA ALMONTE RODRIGUEZ</t>
  </si>
  <si>
    <t>TERAPEUTA OCUPACIONAL</t>
  </si>
  <si>
    <t>402-2033883-0</t>
  </si>
  <si>
    <t>MASSIEL DEL ROSARIO ENCARNACION</t>
  </si>
  <si>
    <t>TERAPEUTA DE ATENCION TEMPRANA</t>
  </si>
  <si>
    <t>402-2483207-7</t>
  </si>
  <si>
    <t>ANADI DEVI CREALES LIRANZO</t>
  </si>
  <si>
    <t>402-2513117-2</t>
  </si>
  <si>
    <t>AYSSA CRISTAL PERALTA LORENZO</t>
  </si>
  <si>
    <t>ENLACE ADMINISTRATIVO</t>
  </si>
  <si>
    <t>402-2821156-7</t>
  </si>
  <si>
    <t>CATHERINE PICHARDO DIAZ</t>
  </si>
  <si>
    <t>IVAN ISRAEL VARGAS</t>
  </si>
  <si>
    <t>TERAPEUTA FAMILIAR</t>
  </si>
  <si>
    <t>402-3566980-7</t>
  </si>
  <si>
    <t>STEPHANIE SORIANO UREÑA</t>
  </si>
  <si>
    <t>402-2565380-3</t>
  </si>
  <si>
    <t>ELIANI PIÑERO RODRIGUEZ</t>
  </si>
  <si>
    <t>EVALUADORA</t>
  </si>
  <si>
    <t>019-0016968-9</t>
  </si>
  <si>
    <t>ROSSANI BAEZ FELIZ</t>
  </si>
  <si>
    <t>402-2018377-2</t>
  </si>
  <si>
    <t>031-0227874-8</t>
  </si>
  <si>
    <t>ALTAGRACIA MARTINEZ HERNANDEZ</t>
  </si>
  <si>
    <t>AUXILIAR DE SERVICIO SOCIAL</t>
  </si>
  <si>
    <t>402-2551380-9</t>
  </si>
  <si>
    <t>FREDERICK ERNESTO ESPINAL ALMONTE</t>
  </si>
  <si>
    <t>JORDANY SANCHEZ JIMENEZ</t>
  </si>
  <si>
    <t>402-1159786-5</t>
  </si>
  <si>
    <t>REYMON ALEXANDER BAUTISTA AQUINO</t>
  </si>
  <si>
    <t>012-0110360-1</t>
  </si>
  <si>
    <t>SOPORTE TECNICO INFORMATICO</t>
  </si>
  <si>
    <t>001-1782761-8</t>
  </si>
  <si>
    <t>NATALIE CRISTINA GOMEZ RIVAS</t>
  </si>
  <si>
    <t>AUXILIAR DE ATENCION TEMPRANA</t>
  </si>
  <si>
    <t>TERAPIA CONDUCTUAL</t>
  </si>
  <si>
    <t>031-0573979-5</t>
  </si>
  <si>
    <t>FABIO STIVEN TAVAREZ CHEVALIER</t>
  </si>
  <si>
    <t>MIGUEL ANGEL PIMENTEL</t>
  </si>
  <si>
    <t>001-1213252-7</t>
  </si>
  <si>
    <t>ANTHONY SAMUEL SANCHEZ ESCALANTE</t>
  </si>
  <si>
    <t>EMELYN ROXIO ROJAS CATANO</t>
  </si>
  <si>
    <t>402-3649798-4</t>
  </si>
  <si>
    <t>001-1793555-1</t>
  </si>
  <si>
    <t>DESARROLLADOR DE SISTEMAS INFORMATICOS</t>
  </si>
  <si>
    <t>CERSA NOBOA RAMIREZ</t>
  </si>
  <si>
    <t>LILIBETH PALOMINO FERNANDEZ</t>
  </si>
  <si>
    <t>JULISSA PAOLA ALMANZAR ADON</t>
  </si>
  <si>
    <t>WILMA MEDINA</t>
  </si>
  <si>
    <t>LUISA MARIA VELOZ LANTIGUA</t>
  </si>
  <si>
    <t>YANELI VASQUEZ PERALTA</t>
  </si>
  <si>
    <t>ROXANNA MILAGROS SANCHEZ DE TATIS</t>
  </si>
  <si>
    <t>010-0099870-6</t>
  </si>
  <si>
    <t>031-0529589-7</t>
  </si>
  <si>
    <t>402-2270968-1</t>
  </si>
  <si>
    <t>031-0352995-8</t>
  </si>
  <si>
    <t>001-1861911-3</t>
  </si>
  <si>
    <t>225-0081187-6</t>
  </si>
  <si>
    <t>001-1808349-2</t>
  </si>
  <si>
    <t>TERAPEUTA APOYO PSICOPEAGOGICO</t>
  </si>
  <si>
    <t>NUTRIOLOGA</t>
  </si>
  <si>
    <t>YLEANNY R. DE LOS SANTOS MORILLO</t>
  </si>
  <si>
    <t>012-0096766-7</t>
  </si>
  <si>
    <t>AUXILIAR DE ATENCION AL CIUDADANO</t>
  </si>
  <si>
    <t>SUPERVISORA DE MAYORDOMIA</t>
  </si>
  <si>
    <t>LEWIS ENRIQUE VOLQUEZ DIAZ</t>
  </si>
  <si>
    <t>402-2205859-2</t>
  </si>
  <si>
    <t>SANTA YLUMINADA ALVAREZ PEÑA</t>
  </si>
  <si>
    <t>031-0409845-8</t>
  </si>
  <si>
    <t>AUXILIAR GUARDERIA</t>
  </si>
  <si>
    <t>031-0421705-8</t>
  </si>
  <si>
    <t>ALDONSA ALTAGRACIA CASTILLO MEDINA DE CABRAL</t>
  </si>
  <si>
    <t>ANALISTA DE DATOS ESTADISTICOS</t>
  </si>
  <si>
    <t>LEIDY MARIA CASILLA REYNOSO</t>
  </si>
  <si>
    <t>DAYRA PAMELA GOMEZ CARABALLO</t>
  </si>
  <si>
    <t>002-0163799-8</t>
  </si>
  <si>
    <t>224-0064826-1</t>
  </si>
  <si>
    <t>AUXILIAR SERVICIOS</t>
  </si>
  <si>
    <t>COORDINADORA TERAPEUTA FAMILIAR</t>
  </si>
  <si>
    <t>COOPEGUB</t>
  </si>
  <si>
    <t>2.1.5.1.01</t>
  </si>
  <si>
    <t>2.1.5.2.01</t>
  </si>
  <si>
    <t>2.1.5.3.01</t>
  </si>
  <si>
    <t>RAFAELA CEPEDA RODRIGUEZ</t>
  </si>
  <si>
    <t>RIKEL LISBETH LUNA GUZMAN</t>
  </si>
  <si>
    <t>ESTEFANI ALTAGRACIA GARCIA PICHARDO</t>
  </si>
  <si>
    <t>PAMELA ALTAGRACIA DIAZ DIAZ</t>
  </si>
  <si>
    <t>402-0875542-7</t>
  </si>
  <si>
    <t>402-2218684-9</t>
  </si>
  <si>
    <t>402-1231248-8</t>
  </si>
  <si>
    <t>AUXILIAR ATENCION TEMPRANA</t>
  </si>
  <si>
    <t>TERAPEUTA CONDUCTUAL</t>
  </si>
  <si>
    <t>YUDIANNEL OGANDO RODRIGUEZ</t>
  </si>
  <si>
    <t>223-0037721-9</t>
  </si>
  <si>
    <t>001-1114242-8</t>
  </si>
  <si>
    <t>LUIS RAINIERI FERRER</t>
  </si>
  <si>
    <t>001-1692955-5</t>
  </si>
  <si>
    <t>EUGENIA DE LOS SANTOS VELASCO</t>
  </si>
  <si>
    <t>Salida</t>
  </si>
  <si>
    <t xml:space="preserve">Reajuste salarial </t>
  </si>
  <si>
    <t>TSS DEPENDIENTES</t>
  </si>
  <si>
    <t>CAID SANTO DOMINGO OESTE</t>
  </si>
  <si>
    <t>CAID SAN JUAN</t>
  </si>
  <si>
    <t>CAID SANTIAGO</t>
  </si>
  <si>
    <t>Dirección</t>
  </si>
  <si>
    <t>CAID  SANTIAGO</t>
  </si>
  <si>
    <t>402-2301181-4</t>
  </si>
  <si>
    <t>ROCIO NATIVIDAD QUEZADA ARREDONDO</t>
  </si>
  <si>
    <t>CAID SANTO DOMINGO ESTE</t>
  </si>
  <si>
    <t>402-0969952-5</t>
  </si>
  <si>
    <t>ELIANYI DOMINGUEZ MARTINEZ</t>
  </si>
  <si>
    <t>TECNICO ATENCION TEMPRANA</t>
  </si>
  <si>
    <t>001-1813710-8</t>
  </si>
  <si>
    <t>JONI JOKEBED FLORES MATOS</t>
  </si>
  <si>
    <t>TERAPEUTA ATENCION GRUPAL</t>
  </si>
  <si>
    <t>MASSIEL FLORENCIO VENTURA</t>
  </si>
  <si>
    <t>224-0050058-7</t>
  </si>
  <si>
    <t>HAROLIN YOJANA CRUEL MORA</t>
  </si>
  <si>
    <t>402-2296635-6</t>
  </si>
  <si>
    <t>MAYERLINEG ALEJANDRA SEGURA MORILLO</t>
  </si>
  <si>
    <t>402-2216609-8</t>
  </si>
  <si>
    <t>MASIEL ANGELINA GUZMAN DIAZ</t>
  </si>
  <si>
    <t>TECNICO TERAPIA CONDUCTUAL</t>
  </si>
  <si>
    <t>001-1120175-2</t>
  </si>
  <si>
    <t>AMBERY ALTAGRACIA CLASES ROSARIO</t>
  </si>
  <si>
    <t>TECNICO ARTETERAPIA</t>
  </si>
  <si>
    <t>223-0060322-6</t>
  </si>
  <si>
    <t>TERAPEUTA DE APOYO PSICOPEDAGOGICO</t>
  </si>
  <si>
    <t>LAURA ELIZABETH TRONCOSO PIMENTEL</t>
  </si>
  <si>
    <t>012-0123494-3</t>
  </si>
  <si>
    <t>YINET OGANDO OGANDO</t>
  </si>
  <si>
    <t>TERAPEUTA TERAPIA CONDUCTUAL</t>
  </si>
  <si>
    <t>402-2332087-6</t>
  </si>
  <si>
    <t>402-2115120-8</t>
  </si>
  <si>
    <t>ARIELA NICAURYS FLORIAN HERASME</t>
  </si>
  <si>
    <t>001-1663685-3</t>
  </si>
  <si>
    <t>ARELIS FELIZ RAMIREZ</t>
  </si>
  <si>
    <t>008-0031219-1</t>
  </si>
  <si>
    <t>MARIA MINERVA SANTANA CATRO</t>
  </si>
  <si>
    <t>TERAPEUTA TERAPIA FISICA</t>
  </si>
  <si>
    <t>012-0111264-4</t>
  </si>
  <si>
    <t>KELVIN DEL ROSARIO PEÑA</t>
  </si>
  <si>
    <t>001-0139557-2</t>
  </si>
  <si>
    <t>CLEOTILDE MARGARITA CORDERO GUERRERO</t>
  </si>
  <si>
    <t>ASESORA DE COMUNICACIONES</t>
  </si>
  <si>
    <t>HECTOR FREDDY MATEO FLORIAN</t>
  </si>
  <si>
    <t>012-0093711-6</t>
  </si>
  <si>
    <t>DIRECTOR MEDICO SJM</t>
  </si>
  <si>
    <t>223-0142848-2</t>
  </si>
  <si>
    <t>095-0009592-3</t>
  </si>
  <si>
    <t>DIOGENES RAFAEL BURGOS ARIAS</t>
  </si>
  <si>
    <t>402-3293252-1</t>
  </si>
  <si>
    <t>HEIDY ARIAS TAVAREZ</t>
  </si>
  <si>
    <t>402-2321083-8</t>
  </si>
  <si>
    <t>SUSY JAMEIRI FRANCISCO PASCUAL</t>
  </si>
  <si>
    <t>402-3129911-2</t>
  </si>
  <si>
    <t>MARIA ISABEL RUIZ GUZMAN</t>
  </si>
  <si>
    <t>AUXILIAR DE SERVICIOS</t>
  </si>
  <si>
    <t>402-3551253-6</t>
  </si>
  <si>
    <t>MARIA DE LOS ANGELES DUJARRIC NUÑEZ</t>
  </si>
  <si>
    <t>049-0074760-3</t>
  </si>
  <si>
    <t>ROSA YENERCI FLORES ALONZO</t>
  </si>
  <si>
    <t>402-2521862-3</t>
  </si>
  <si>
    <t>JULIO CESAR SANCHEZ MEDINA</t>
  </si>
  <si>
    <t>TERAPEUTA DE TERAPIA FAMILIAR</t>
  </si>
  <si>
    <t>402-2304610-9</t>
  </si>
  <si>
    <t>MARY TRINY PEREZ LAGRANGGE</t>
  </si>
  <si>
    <t>TECNICO DE HABLA Y LENGUAJE</t>
  </si>
  <si>
    <t>402-2018129-7</t>
  </si>
  <si>
    <t>JESSICA NICOLE FERNANDEZ SENCION</t>
  </si>
  <si>
    <t>001-1469710-5</t>
  </si>
  <si>
    <t>CHARITO CALDERON DE BARRIOS</t>
  </si>
  <si>
    <t>001-1590245-4</t>
  </si>
  <si>
    <t>SUGEY MAYELIN PEREZ RAMIREZ</t>
  </si>
  <si>
    <t>001-1746212-7</t>
  </si>
  <si>
    <t>JUANA PEREZ NOVAS</t>
  </si>
  <si>
    <t>001-0105526-7</t>
  </si>
  <si>
    <t>SARAH JOSEFINA HYAR ARBAJE</t>
  </si>
  <si>
    <t>001-1863844-4</t>
  </si>
  <si>
    <t>EDISON IRIARTE RODRIGUEZ DIAZ</t>
  </si>
  <si>
    <t>MEDICO GENERAL</t>
  </si>
  <si>
    <t>001-1720775-3</t>
  </si>
  <si>
    <t>CAROL YAHAIRA ARIAS DE ESTEVEZ</t>
  </si>
  <si>
    <t>DEPARTAMENTO GESTION  Y MONITOREO</t>
  </si>
  <si>
    <t>DIVISION DE COMUNICACIONES</t>
  </si>
  <si>
    <t>031-0179765-6</t>
  </si>
  <si>
    <t>JUAN EPIFANIO ORTEGA RODRIGUEZ</t>
  </si>
  <si>
    <t>NORYS MERCEDES VELEZ DE THOMSON</t>
  </si>
  <si>
    <t>225-0028550-1</t>
  </si>
  <si>
    <t>MARIA MERCEDES GONZALO GARACHANA</t>
  </si>
  <si>
    <t>001-0199712-0</t>
  </si>
  <si>
    <t>ASESORA LEGAL</t>
  </si>
  <si>
    <t>DIVISION JURIDICA</t>
  </si>
  <si>
    <t>402-2191049-6</t>
  </si>
  <si>
    <t>AMBAR ELIZABETH MARTINEZ RIVERA</t>
  </si>
  <si>
    <t>DEPARTAMENTO ADMINISTRATIVO Y FINANCIERO</t>
  </si>
  <si>
    <t>DEPARTAMENTO DE PLANIFICACION Y DESARROLLO</t>
  </si>
  <si>
    <t>DEPARTAMENTO DE RECURSOS HUMANOS</t>
  </si>
  <si>
    <t>DEPARTAMENTO DESARROLLO DE SERVICIOS</t>
  </si>
  <si>
    <t>DEPARTAMENTO DE TECNOLOGIA DE LA INFORMACION Y COMUNICACION</t>
  </si>
  <si>
    <t>FELIX JOSE MENDEZ ALVAREZ</t>
  </si>
  <si>
    <t>402-2477863-5</t>
  </si>
  <si>
    <t>SOPORTE TECNICO DE LA INFORMACION</t>
  </si>
  <si>
    <t>PRISCILLA THAMARA SOCORRO ALVAREZ</t>
  </si>
  <si>
    <t>ZAIDA KATTYELIZA GOMEZ DE BALBUENA</t>
  </si>
  <si>
    <t>013-047495-3</t>
  </si>
  <si>
    <t>2.1.1.1.01 Sueldos Fijos</t>
  </si>
  <si>
    <t>NO</t>
  </si>
  <si>
    <t xml:space="preserve">CEDULA </t>
  </si>
  <si>
    <t>NOMBRE</t>
  </si>
  <si>
    <t>TIPO DE EMPLEADO</t>
  </si>
  <si>
    <t>CARGO</t>
  </si>
  <si>
    <t>INSTITUCION</t>
  </si>
  <si>
    <t>SALARIO SOLICITADO</t>
  </si>
  <si>
    <t>SALARIO APROBADO</t>
  </si>
  <si>
    <t>MOTIVO</t>
  </si>
  <si>
    <t>NO OBJECIÓN DEL MAP</t>
  </si>
  <si>
    <t>224-0016513-4</t>
  </si>
  <si>
    <t>ROSELINA YISSEL FRANCO PROSPER</t>
  </si>
  <si>
    <t>PROMOTORA SOCIAL</t>
  </si>
  <si>
    <t>001-1191877-7</t>
  </si>
  <si>
    <t>ANA YAFRESSI SANTIAGO SUAREZ</t>
  </si>
  <si>
    <t>031-0250828-4</t>
  </si>
  <si>
    <t>ELBA ALTAGRACIA DIAZ DE LIRIANO</t>
  </si>
  <si>
    <t>031-0294629-4</t>
  </si>
  <si>
    <t>MARIBEL VASQUEZ GONZALEZ</t>
  </si>
  <si>
    <t>SALARIO ACTUAL</t>
  </si>
  <si>
    <t>AUMENTO SALARIAL</t>
  </si>
  <si>
    <t>DIRECCION NACIONAL</t>
  </si>
  <si>
    <t>2.1.1.2.08 Sueldos al Personal Contratado e Igualado - 2019</t>
  </si>
  <si>
    <t>2.1.1.2.09 Personal de Carácter Eventual</t>
  </si>
  <si>
    <t>DOCUMENTO</t>
  </si>
  <si>
    <t>402-3659794-0</t>
  </si>
  <si>
    <t>LEONARDO JAVIER RADA HERNANDEZ</t>
  </si>
  <si>
    <t>DEPARTAMENTO TECNOLOGIA DE LA INFORMACION</t>
  </si>
  <si>
    <t>Producto</t>
  </si>
  <si>
    <t>402-2218895-1</t>
  </si>
  <si>
    <t>INDIANA ALTAGRACIA RORIGUEZ LEE</t>
  </si>
  <si>
    <t>PRODUCTO</t>
  </si>
  <si>
    <t>Salidas</t>
  </si>
  <si>
    <t>Ingresos</t>
  </si>
  <si>
    <t>2.1.2.2.05</t>
  </si>
  <si>
    <t>Compensacion servicios de seguridad</t>
  </si>
  <si>
    <t>012-0114614-7</t>
  </si>
  <si>
    <t>RAULIN MORILLO ALCANTARA, ERD</t>
  </si>
  <si>
    <t>DEPARTAMENTO</t>
  </si>
  <si>
    <t>DEPARTAMENTO EVALUACION Y DIAGNOSTICO</t>
  </si>
  <si>
    <t>DIVISION DE EVALUACION DEL DESARROLLO</t>
  </si>
  <si>
    <t>DIVISION SERVICIO SOCIAL</t>
  </si>
  <si>
    <t>DIRECCION MEDICA</t>
  </si>
  <si>
    <t>DIVISION EVALUACION DEL DESARROLLO</t>
  </si>
  <si>
    <t>DIVISION INTERVENCION TERAPEUTICA</t>
  </si>
  <si>
    <t>DIVISION MEDICA</t>
  </si>
  <si>
    <t>DIVISION COMUNICACIONES</t>
  </si>
  <si>
    <t>DEPARTAMENTO RECURSOS HUMANOS</t>
  </si>
  <si>
    <t>DIRECCION MEDICA SANTIAGO</t>
  </si>
  <si>
    <t>DIRECCION MEDICA SAN JUAN</t>
  </si>
  <si>
    <t>DIVISION DE ATENCION A GRUPOS Y FAMILIA</t>
  </si>
  <si>
    <t>DEPARTAMENTO PLANIFICACION Y DESARROLLO</t>
  </si>
  <si>
    <t>001-1567781-7</t>
  </si>
  <si>
    <t>PEDRO LUIS GARCIA DE LA ROSA</t>
  </si>
  <si>
    <t>SECCION DE RECEPCION</t>
  </si>
  <si>
    <t>SECCION TRABAJO SOCIAL</t>
  </si>
  <si>
    <t>DIRECCION MEDICA SDE</t>
  </si>
  <si>
    <t>012-0103750-2</t>
  </si>
  <si>
    <t>ADRIAN CALDERON MONTERO</t>
  </si>
  <si>
    <t>Encargada Recursos Humanos</t>
  </si>
  <si>
    <t>Temporal</t>
  </si>
  <si>
    <t>Ingrid Agramonte</t>
  </si>
  <si>
    <t>ENCARGADA DEPARTAMENTO RECURSOS HUMANOS</t>
  </si>
  <si>
    <t>ENCARGADA DEPARTAMENTO DESARROLLO DE SERVICIOS</t>
  </si>
  <si>
    <t>Reajustes</t>
  </si>
  <si>
    <t>ENCARGADA DE DIVISION DE GESTION Y MONITOREO</t>
  </si>
  <si>
    <t>COORDINADOR DE LA SECCION DE ATENCION TEMPRANA</t>
  </si>
  <si>
    <t>TERAPEUTA DE LA SECCION DE TERAPIA COMPLEMENTARIA</t>
  </si>
  <si>
    <t>CONSULTORA DE SERVICIOS</t>
  </si>
  <si>
    <t>ANTHONY SAMIL SAVIÑON ROSARIO</t>
  </si>
  <si>
    <t>9603865513</t>
  </si>
  <si>
    <t>070-0006355-7</t>
  </si>
  <si>
    <t>NORBELIN RIVAS OGANDO</t>
  </si>
  <si>
    <t>9604007066</t>
  </si>
  <si>
    <t>VARIACION EN NOMINA</t>
  </si>
  <si>
    <t>Departamento</t>
  </si>
  <si>
    <t>TSS Dependientes</t>
  </si>
  <si>
    <t>Total Descuentos</t>
  </si>
  <si>
    <t>Cuenta Bancaria</t>
  </si>
  <si>
    <t>Fecha Primer Cargo</t>
  </si>
  <si>
    <t>Descuento Savica - INAIVI</t>
  </si>
  <si>
    <t>Salario Neto</t>
  </si>
  <si>
    <t>Fecha Término de Contrato</t>
  </si>
  <si>
    <t>402-2233059-5</t>
  </si>
  <si>
    <t>CLAUDIA CAROLINA MATEO VALDEZ</t>
  </si>
  <si>
    <t>9605725004</t>
  </si>
  <si>
    <t>012-0005541-4</t>
  </si>
  <si>
    <t>PASCUAL MORETA OGANDO</t>
  </si>
  <si>
    <t>012-0123956-1</t>
  </si>
  <si>
    <t>NATHANAEL MARTÍNEZ MORA</t>
  </si>
  <si>
    <t>012-0127533-4</t>
  </si>
  <si>
    <t>LUISA MAOLI FAMILIA PEÑA</t>
  </si>
  <si>
    <t>012-0117610-2</t>
  </si>
  <si>
    <t>YULISSA ENCARNACIÓN DE LOS SANTOS</t>
  </si>
  <si>
    <t>9605725005</t>
  </si>
  <si>
    <t>229-0030052-0</t>
  </si>
  <si>
    <t>GLEYDIS ISABEL PEREZ DE LOS SANTOS</t>
  </si>
  <si>
    <t>TERAPEUTA DE ATENCIÓN TEMPRANA</t>
  </si>
  <si>
    <t>9605725006</t>
  </si>
  <si>
    <t>225-0062192-9</t>
  </si>
  <si>
    <t>MILKA MIOFELIS POLANCO MARTÍNEZ</t>
  </si>
  <si>
    <t>9605725008</t>
  </si>
  <si>
    <t>402-2655525-4</t>
  </si>
  <si>
    <t>KEYLIN LUISANNA DE LOS SANTOS RAMIREZ</t>
  </si>
  <si>
    <t>9605725009</t>
  </si>
  <si>
    <t>DEPARTAMENTO DE ATENCION Y TERAPIAS</t>
  </si>
  <si>
    <t>TERAPEUTA ENTRENAMIENTO A FAMILIA</t>
  </si>
  <si>
    <t>TERAPEUTA AMILIAR</t>
  </si>
  <si>
    <t>SUPERVISOR DE MANTENIMIENTO</t>
  </si>
  <si>
    <t>SALARIO EN NOMINA</t>
  </si>
  <si>
    <t>DIVISION DE COOPERACION INTERNACIONAL</t>
  </si>
  <si>
    <t>CAID SAN JUAN DE LA MAGUANA</t>
  </si>
  <si>
    <t>ASESORA DIRECCION MEDICA sjm</t>
  </si>
  <si>
    <t>ASESOR TIC</t>
  </si>
  <si>
    <t>DESCRIPCION CUENTA GASTOS</t>
  </si>
  <si>
    <t>CODIGO_CONCEPTO_PLANTA</t>
  </si>
  <si>
    <t>530-08</t>
  </si>
  <si>
    <t>Cooperativa Dominicana de Enfermeras Graduadas</t>
  </si>
  <si>
    <t>530-34</t>
  </si>
  <si>
    <t>Seguro Médico (SENASA)</t>
  </si>
  <si>
    <t>530-37</t>
  </si>
  <si>
    <t>Coop. Médica de Santiago de Serv. Múltiples</t>
  </si>
  <si>
    <t>530-56</t>
  </si>
  <si>
    <t>Asociación Nacional de Enfermería (ASONAEN)</t>
  </si>
  <si>
    <t>Montos en Nómina</t>
  </si>
  <si>
    <t>031-0432723-8</t>
  </si>
  <si>
    <t>MARÍA ALTAGRACIA FLETE NÚÑEZ</t>
  </si>
  <si>
    <t>001-0815560-7</t>
  </si>
  <si>
    <t>ALEXANDRA REYES ENCARNACIÓN DE PEÑA</t>
  </si>
  <si>
    <t>012-0099803-5</t>
  </si>
  <si>
    <t>RAFAEL BIENVENIDO SÁNCHEZ MEJÍA</t>
  </si>
  <si>
    <t>224-0014080-6</t>
  </si>
  <si>
    <t>AUXILIAR DE ATENCIÓN AL USUARIO</t>
  </si>
  <si>
    <t xml:space="preserve">2.1.1.3.01 Sueldos a personal fijo en tramites de pensiones </t>
  </si>
  <si>
    <t>ENCARGADA DIVISION EVALUACION DEL DESARROLLO</t>
  </si>
  <si>
    <t>ENCARGADA DEPARTAMENTO DE PLANIFICACION Y DESARROLLO</t>
  </si>
  <si>
    <t>2.1.1.2.11</t>
  </si>
  <si>
    <t>Sueldo temporal a personal fijo en cargos de carrera</t>
  </si>
  <si>
    <t>TERAPEUTA FISICO</t>
  </si>
  <si>
    <t>MARIA FERNANDA FERNANDEZ JIMENEZ</t>
  </si>
  <si>
    <t>402-1042214-9</t>
  </si>
  <si>
    <t>TECNICO TERAPIA FISICA</t>
  </si>
  <si>
    <t>402-2755246-6</t>
  </si>
  <si>
    <t>JENNIFER ALEXANDRA GARCIA TEJEDA</t>
  </si>
  <si>
    <t>001-1870613-4</t>
  </si>
  <si>
    <t>LORENZO HEMENEGILDO DE JESUS GOMEZ</t>
  </si>
  <si>
    <t>223-0116344-4</t>
  </si>
  <si>
    <t>MAYKER ALEXANDER CRUZ JIMENEZ</t>
  </si>
  <si>
    <t>EVALUADOR DEL DESARROLLO</t>
  </si>
  <si>
    <t>224-0055448-5</t>
  </si>
  <si>
    <t>RUTH ESTHER RODRIGUEZ SIERRA</t>
  </si>
  <si>
    <t>402-0969489-8</t>
  </si>
  <si>
    <t>AIMEE PAOLA AGUIRRE SALADIN</t>
  </si>
  <si>
    <t>TECNICO APOYO PSICOPEDAGOGICO</t>
  </si>
  <si>
    <t>TÉCNICO DE EVALUACIÓN DEL DESARROLLO</t>
  </si>
  <si>
    <t>034-0018223-8</t>
  </si>
  <si>
    <t>LUISA INMACULADA CONCEPCIÓN FERNÁNDEZ</t>
  </si>
  <si>
    <t>402-2179188-8</t>
  </si>
  <si>
    <t>GABRIELA SANTOS FERMIN</t>
  </si>
  <si>
    <t>ENCARGADA DIVISION DE COMPRAS Y CONTRATACIONES</t>
  </si>
  <si>
    <t>225-0047989-8</t>
  </si>
  <si>
    <t>LISBETH PAOLA CASTILLO REYNA</t>
  </si>
  <si>
    <t>ENCARGADA DE LA DIVISION DE ATENCION AL USUARIO</t>
  </si>
  <si>
    <t>223-0091940-8</t>
  </si>
  <si>
    <t>BRYAN QUIÑONES MERCEDES</t>
  </si>
  <si>
    <t>402-4050020-3</t>
  </si>
  <si>
    <t>BIANCA VERONA SANTOS RODRÍGUEZ</t>
  </si>
  <si>
    <t>402-2688105-6</t>
  </si>
  <si>
    <t>MADELIN FRANCHESCA BONILLA NÚÑEZ</t>
  </si>
  <si>
    <t>TÉCNICO DE ATENCIÓN TEMPRANA</t>
  </si>
  <si>
    <t>TERAPEUTA DE INTERVENCIÓN CONDUCTUAL</t>
  </si>
  <si>
    <t>Nuevo ingreso</t>
  </si>
  <si>
    <t>Reajustes o promociones</t>
  </si>
  <si>
    <t>Prueba Zero</t>
  </si>
  <si>
    <t>Otros descuentos</t>
  </si>
  <si>
    <t>TSS</t>
  </si>
  <si>
    <t>DAMARYS FIGUEREO</t>
  </si>
  <si>
    <t>402-2880713-3</t>
  </si>
  <si>
    <t>CHRISTOPHER XAVIER RIJO GONZALEZ</t>
  </si>
  <si>
    <t>ANALISTA</t>
  </si>
  <si>
    <t>402-2478604-2</t>
  </si>
  <si>
    <t>VALENTINA ANYELINA URIBE GUERRERO</t>
  </si>
  <si>
    <t>TECNICO DE RECURSOS HUMANOS</t>
  </si>
  <si>
    <t>ENCARGADA DE RECLUTAMIENTO Y SELECCION</t>
  </si>
  <si>
    <t>ENCARGADA DE REGISTRO, CONTROL Y NOMINA</t>
  </si>
  <si>
    <t>ENCARGADA DE LA SECCION DE ELABORACION DE DOCUMENTOS LEGALES</t>
  </si>
  <si>
    <t>DIVISION DE CONTABILIDAD</t>
  </si>
  <si>
    <t>223-0171050-9</t>
  </si>
  <si>
    <t>MARTIN CUEVAS CARRION</t>
  </si>
  <si>
    <t>520236447</t>
  </si>
  <si>
    <t xml:space="preserve"> </t>
  </si>
  <si>
    <t>402-2173984-6</t>
  </si>
  <si>
    <t>VICTOR MANUEL MENDEZ PERALTA</t>
  </si>
  <si>
    <t>GESTOR ENERGETICO</t>
  </si>
  <si>
    <t>402-2090274-2</t>
  </si>
  <si>
    <t>402-2609745-5</t>
  </si>
  <si>
    <t>001-1621216-8</t>
  </si>
  <si>
    <t>402-1571287-4</t>
  </si>
  <si>
    <t>402-2597426-6</t>
  </si>
  <si>
    <t>031-0371787-6</t>
  </si>
  <si>
    <t>402-2760061-2</t>
  </si>
  <si>
    <t>402-1580427-5</t>
  </si>
  <si>
    <t>402-2595434-2</t>
  </si>
  <si>
    <t>402-5358007-6</t>
  </si>
  <si>
    <t>031-0370308-2</t>
  </si>
  <si>
    <t>012-0080647-7</t>
  </si>
  <si>
    <t>ROSANNY DOÑE RIVAS</t>
  </si>
  <si>
    <t>HAIDEE MELISSA SANTOS MATOS</t>
  </si>
  <si>
    <t>LIDIA MERCEDES PEÑA EUSEBIO</t>
  </si>
  <si>
    <t>YOKASTA CLARIBEL PAULINO MORONTA</t>
  </si>
  <si>
    <t>SUSAN OVELYS DE LA ROSA VALENZUELA</t>
  </si>
  <si>
    <t>FRANKLIN CASTILLO GERALDINO</t>
  </si>
  <si>
    <t>JOSÉ ANTONIO OTAÑO RUÍZ</t>
  </si>
  <si>
    <t>DIVISION DE ATENCION AL USUARIO</t>
  </si>
  <si>
    <t>ANA FERNANDA DE LOS SANTOS GARCIA</t>
  </si>
  <si>
    <t>ANNERY YISSEL ALVAREZ JOSE</t>
  </si>
  <si>
    <t>NAIRELIS VERONICA UREÑA FERNANDEZ</t>
  </si>
  <si>
    <t>DIVISION DE INTERVENCION TERAPEUTICA</t>
  </si>
  <si>
    <t>TERAPEUTA ARTETERAPIA</t>
  </si>
  <si>
    <t>MARIA LUZ RODRIGUEZ DE ALMONTE</t>
  </si>
  <si>
    <t>001-0529647-9</t>
  </si>
  <si>
    <t xml:space="preserve">ASISTENTE EJECUTIVA </t>
  </si>
  <si>
    <t>ERMITANIA DANIELA MEJIA LORA</t>
  </si>
  <si>
    <t>LAURA MARIA FERNANDEZ FERMIN</t>
  </si>
  <si>
    <t>LOYNNIS DE JESUS MOTA PEREZ</t>
  </si>
  <si>
    <t>SABRINA FELIZ NUÑEZ</t>
  </si>
  <si>
    <t>JUAN FRANCISCO VALDEZ MARTINEZ</t>
  </si>
  <si>
    <t>MARIA ALEXANDRA ALMONTE PARRA</t>
  </si>
  <si>
    <t xml:space="preserve">                                                                             </t>
  </si>
  <si>
    <t>TECNICO DE INTERVENCION CONDUCTUAL</t>
  </si>
  <si>
    <t>224-0066277-5</t>
  </si>
  <si>
    <t>ANTHONY AMAURIS CUSTODIO LARA</t>
  </si>
  <si>
    <t>ADMINISTRADOR DE REDES Y COMUNICACIONES</t>
  </si>
  <si>
    <t>LUIS DANIEL SOSA BREA</t>
  </si>
  <si>
    <t>ENCARGADO DESARROLLO E IMPLEMENTACION DE SISTEMAS</t>
  </si>
  <si>
    <t>001-1531262-1</t>
  </si>
  <si>
    <t>FELIX MANUEL ESPINOSA REYES</t>
  </si>
  <si>
    <t>001-1147265-0</t>
  </si>
  <si>
    <t>BERKIS RODRÍGUEZ MATEO</t>
  </si>
  <si>
    <t>022-0028390-7</t>
  </si>
  <si>
    <t>BENIS SAULIN SANTANA REYES</t>
  </si>
  <si>
    <t>010-0072024-1</t>
  </si>
  <si>
    <t>LLENDIZ ESMERIZ DE LOS SANTOS FAMILIA</t>
  </si>
  <si>
    <t>001-1675630-5</t>
  </si>
  <si>
    <t>LUIS JOSE VELAZQUEZ PEREZ</t>
  </si>
  <si>
    <t>008-0030191-3</t>
  </si>
  <si>
    <t>RONNY JOSE MERCEDES CUMENA</t>
  </si>
  <si>
    <t>402-2153723-2</t>
  </si>
  <si>
    <t>ALGENYS TRINIDAD SENA</t>
  </si>
  <si>
    <t>ENC. SEGURIDAD</t>
  </si>
  <si>
    <t>ENCARGADA DEL DEPTO. DE ATENCION Y TERAPIA</t>
  </si>
  <si>
    <t>055-0025583-0</t>
  </si>
  <si>
    <t>037-0112029-1</t>
  </si>
  <si>
    <t>ALGENIS ABREU DELGADO</t>
  </si>
  <si>
    <t>CARLOS DAVID VIZCAÍNO</t>
  </si>
  <si>
    <t>402-2345153-1</t>
  </si>
  <si>
    <t>IVELISSE ADAMES DE LA CRUZ</t>
  </si>
  <si>
    <t>402-1516180-9</t>
  </si>
  <si>
    <t>JHON HAIRO LEYBA PÉREZ</t>
  </si>
  <si>
    <t>402-0964588-2</t>
  </si>
  <si>
    <t>VICKY TORRES</t>
  </si>
  <si>
    <t>001-1289231-0</t>
  </si>
  <si>
    <t>ZAIDY INMACULADA RIVERA ESPINOSA</t>
  </si>
  <si>
    <t>402-2149062-2</t>
  </si>
  <si>
    <t>GREGORIO ANTONIO RIVAS TEJEDA</t>
  </si>
  <si>
    <t>023-0140267-9</t>
  </si>
  <si>
    <t>LEYNI ERNESTO LAZALA MATEO</t>
  </si>
  <si>
    <t>001-1932730-2</t>
  </si>
  <si>
    <t>JOCELYN ALTAGRACIA VICENTE ALCÁNTARA</t>
  </si>
  <si>
    <t>402-5480416-0</t>
  </si>
  <si>
    <t>AMALFI MARTÍNEZ ACEVEDO</t>
  </si>
  <si>
    <t>001-1422028-8</t>
  </si>
  <si>
    <t>CARMEN ELIZABETH ESPINAL ESPINAL DE PUJOLS</t>
  </si>
  <si>
    <t>SUPERVISORA DE TRANSPORTACIÓN</t>
  </si>
  <si>
    <t>012-0116890-1</t>
  </si>
  <si>
    <t>ALEXIS RADHAMES FRAGOSO BAEZ</t>
  </si>
  <si>
    <t>001-1641287-5</t>
  </si>
  <si>
    <t>ANA EVA LAVILLE DE SAJUN</t>
  </si>
  <si>
    <t>ANALISTA DE PLANIFICACIÓN Y DESARROLLO</t>
  </si>
  <si>
    <t>ENCARGADA  DE LA DIVISIÓN DE SERVICIOS GENERALES</t>
  </si>
  <si>
    <t>GIOCONDY BERENICE BAUTISTA OGANDO</t>
  </si>
  <si>
    <t>402-3650501-8</t>
  </si>
  <si>
    <t>LUIS MANUEL BÁEZ FERRERAS</t>
  </si>
  <si>
    <t>001-0562983-6</t>
  </si>
  <si>
    <t>JOSÉ ELÍAS DE JESÚS</t>
  </si>
  <si>
    <t>SECCION DE MANTENIMIENTO</t>
  </si>
  <si>
    <t>402-4123906-6</t>
  </si>
  <si>
    <t>CYBELES NAZARETH CANELA FRANCO</t>
  </si>
  <si>
    <t>AUXILAIR DE ENFERMERIA</t>
  </si>
  <si>
    <t>EFECTIVIDAD</t>
  </si>
  <si>
    <t>001-1944868-6</t>
  </si>
  <si>
    <t>075-0009332-8</t>
  </si>
  <si>
    <t>402-2729124-8</t>
  </si>
  <si>
    <t>ISLENY MARIELL SÁNCHEZ GUZMÁN</t>
  </si>
  <si>
    <t>402-0913007-5</t>
  </si>
  <si>
    <t>AYELEN JIMÉNEZ CARACCIOLO</t>
  </si>
  <si>
    <t>TÉCNICO DE TERAPIA</t>
  </si>
  <si>
    <t>053-0036116-8</t>
  </si>
  <si>
    <t>ANEURY DE LA ROSA DE LA ROSA</t>
  </si>
  <si>
    <t>223-0130929-4</t>
  </si>
  <si>
    <t>ANNI LOREIDY CABA DE TERRERO</t>
  </si>
  <si>
    <t>9606484285</t>
  </si>
  <si>
    <t>402-3462505-7</t>
  </si>
  <si>
    <t>129-0003972-3</t>
  </si>
  <si>
    <t>SALARIO ANTERIOR</t>
  </si>
  <si>
    <t>SALARIO EN  NOMINA</t>
  </si>
  <si>
    <t>402-00559173</t>
  </si>
  <si>
    <t>MARIA YDALIA MONTERO CAMACHO</t>
  </si>
  <si>
    <t>AUXILIAR DE PROGRAMACIÓN DE CITAS</t>
  </si>
  <si>
    <t>065-0030620-1</t>
  </si>
  <si>
    <t>JOSE ALMANCIO DEOGRACIA FERMIN</t>
  </si>
  <si>
    <t>RUBERT GODINES HERNÁNDEZ ABREU</t>
  </si>
  <si>
    <t>ADRIANO LINAREZ HERNÁNDEZ</t>
  </si>
  <si>
    <t>JUAN FERMÍN VARGAS ORTEGA</t>
  </si>
  <si>
    <t>BERLYN SANTOS FELIZ</t>
  </si>
  <si>
    <t>223-0078256-6</t>
  </si>
  <si>
    <t>008-0030948-6</t>
  </si>
  <si>
    <t>223-0171314-9</t>
  </si>
  <si>
    <t>402-2034949-8</t>
  </si>
  <si>
    <t>402-0059619-1</t>
  </si>
  <si>
    <t>Henry Rosa Polanco</t>
  </si>
  <si>
    <t>Director Nacional</t>
  </si>
  <si>
    <t>402-2348780-8</t>
  </si>
  <si>
    <t>ENMANUEL JOSE DE LA ROSA MEJIA</t>
  </si>
  <si>
    <t>FERNANDO EMANUEL CANARIO CAMINERO</t>
  </si>
  <si>
    <t>DEPARTAMENTO DE COMUNICACIONES</t>
  </si>
  <si>
    <t>031-0504680-3</t>
  </si>
  <si>
    <t>ALEXANDRA ELIZABETH RAMOS VALERIO</t>
  </si>
  <si>
    <t>402-1170201-0</t>
  </si>
  <si>
    <t>LUZ DIVINA BONILLA PAULINO</t>
  </si>
  <si>
    <t>TERAPEUTA DE TERAPIAS ARTISTICAS</t>
  </si>
  <si>
    <t>GUSTAVO ALBERTO DIAZ DIAZ</t>
  </si>
  <si>
    <t>001-0195365-1</t>
  </si>
  <si>
    <t>ENCARGADO DE LA SECCION DE ALMACEN Y SUMINISTRO</t>
  </si>
  <si>
    <t>031-0518065-1</t>
  </si>
  <si>
    <t>ROSA JENNY PALLERO GARCIA</t>
  </si>
  <si>
    <t>DIVISION DE SERVICIO SOCIAL</t>
  </si>
  <si>
    <t>TRABAJADORA SOCIAL</t>
  </si>
  <si>
    <t>402-2203552-5</t>
  </si>
  <si>
    <t>EMELY MELISSA ESTRELLA ROA</t>
  </si>
  <si>
    <t>OFICIAL DE ATENCION AL USUARIO</t>
  </si>
  <si>
    <t>047-0204437-3</t>
  </si>
  <si>
    <t>YOKELY DEL CARMEN DIAZ POLANCO</t>
  </si>
  <si>
    <t>AUXILIAR DE ATENCION AL USUARIO</t>
  </si>
  <si>
    <t>ENCARGADA DE LA SECCION DE TESORERIA</t>
  </si>
  <si>
    <t>EVELYN VERAS MOYA</t>
  </si>
  <si>
    <t>001-0923297-5</t>
  </si>
  <si>
    <t>MILDRED GABRIELA DE LA ALTAGRACIA PEREZ DE ARIAS</t>
  </si>
  <si>
    <t>DIRECCION MEDICA SDO</t>
  </si>
  <si>
    <t>018-0063783-5</t>
  </si>
  <si>
    <t xml:space="preserve">ADOLFO ASMAR MEDINA </t>
  </si>
  <si>
    <t>5hh555</t>
  </si>
  <si>
    <t>093-0077200-2</t>
  </si>
  <si>
    <t>ESTHEFANY ESMERLIN DE JESUS DE LA CRUZ</t>
  </si>
  <si>
    <t>TECNICO DE TERAPIA</t>
  </si>
  <si>
    <t>402-2807070-8</t>
  </si>
  <si>
    <t>NATASHA INMACULADA FRIAS LOPEZ</t>
  </si>
  <si>
    <t>001-1308749-8</t>
  </si>
  <si>
    <t>NOELIA DESIREE OVALLES GUZMAN</t>
  </si>
  <si>
    <t>TERAPEUTA DE FAMILIA</t>
  </si>
  <si>
    <t>108-0009795-7</t>
  </si>
  <si>
    <t>GENNY MONTERO MONTERO</t>
  </si>
  <si>
    <t>014-0022133-7</t>
  </si>
  <si>
    <t>EDISON ESTIWHAR DE OLEO</t>
  </si>
  <si>
    <t>022-0025886-7</t>
  </si>
  <si>
    <t>DAVID CUEVAS SILFA</t>
  </si>
  <si>
    <t>VIGILANTE</t>
  </si>
  <si>
    <t>402-3460705-5</t>
  </si>
  <si>
    <t>EMELANIA RAMIREZ ADAMES</t>
  </si>
  <si>
    <t>DIVISION DE PROYECTOS</t>
  </si>
  <si>
    <t>AUXILIAR ADMINISTRATIVO PARA EL PROYECTO "RED DE APOYO A LA DISCAPACIDAD"</t>
  </si>
  <si>
    <t>001-0732928-6</t>
  </si>
  <si>
    <t>FAUSTO ROLANDO JOSE MARTINEZ PEREZ</t>
  </si>
  <si>
    <t>MASCULINO</t>
  </si>
  <si>
    <t>TRAMITE DE PENSION</t>
  </si>
  <si>
    <t>DELEGADO DEL CAID ANTE EL CONADIS</t>
  </si>
  <si>
    <t>ASTRID CHANTAL SANTOS OGANDO</t>
  </si>
  <si>
    <t>001-1833428-3</t>
  </si>
  <si>
    <t>SENIA HURTADO JIMÉNEZ</t>
  </si>
  <si>
    <t>402-1856591-5</t>
  </si>
  <si>
    <t>SALYN SELINA BAEZ CASTRO</t>
  </si>
  <si>
    <t>AUX. FACTURACIÓN Y SEGURO</t>
  </si>
  <si>
    <t>DIVISION DE SERVICIOS GENERALES</t>
  </si>
  <si>
    <t>402-1032842-9</t>
  </si>
  <si>
    <t>ELVIRA MERCEDES GONZÁLEZ CONCEPCIÓN</t>
  </si>
  <si>
    <t>ELISANGELES DE LA ROSA MATA</t>
  </si>
  <si>
    <t>402-2485640-7</t>
  </si>
  <si>
    <t>NIRMARYS MONTILLA GARCIA</t>
  </si>
  <si>
    <t>TERAPEUTA ARTÍSTICA</t>
  </si>
  <si>
    <t>229-0001694-4</t>
  </si>
  <si>
    <t>402-1914595-6</t>
  </si>
  <si>
    <t>402-4740531-5</t>
  </si>
  <si>
    <t>JOSE RICARDO BENALCAZAR RAMIREZ</t>
  </si>
  <si>
    <t>TECNICO DE ATENCION AL CIUDADANO</t>
  </si>
  <si>
    <t>005-4558414-4 PA.545584144</t>
  </si>
  <si>
    <t>TECNICO DE INTERVENCIÓN CONDUCTUAL</t>
  </si>
  <si>
    <t>TERAPEUTA DE ENTRENAMIENTO A FAMILIA</t>
  </si>
  <si>
    <t>TERAPEUTA DE HABLA Y LENGUAJE</t>
  </si>
  <si>
    <t>ENCARGADA DE EVALUACIÓN Y DIAGNÓSTICO</t>
  </si>
  <si>
    <t>COORDINADORA DE ÁREA</t>
  </si>
  <si>
    <t>ENCARGADA DE ATENCIÓN Y TERAPIA</t>
  </si>
  <si>
    <t>ENCARGADA DE ATENCIÓN A GRUPOS Y FAMILIA</t>
  </si>
  <si>
    <t>ENCARGADA DE INTERVENCIÓN TERAPEUTICA</t>
  </si>
  <si>
    <t>402-5468098-2 PA. G38068717</t>
  </si>
  <si>
    <t>012-0126100-3</t>
  </si>
  <si>
    <t>INGRI OGANDO MORA</t>
  </si>
  <si>
    <t>9601714144</t>
  </si>
  <si>
    <t>402-2323503-3</t>
  </si>
  <si>
    <t>MARANGELIZ CARABALLO CASTILLO</t>
  </si>
  <si>
    <t>DIVISION DE COMPRAS Y CONTRATACIONES</t>
  </si>
  <si>
    <t>ANALISTA DE COMPRAS Y CONTRATACIONES</t>
  </si>
  <si>
    <t>031-0563094-5</t>
  </si>
  <si>
    <t>CARLOS BISMAL ROSARIO</t>
  </si>
  <si>
    <t>DEPARTAMENTO DE TECNOLOGIA DE LA INFORMACION Y COMUNICACIÓN</t>
  </si>
  <si>
    <t>402-3072429-2</t>
  </si>
  <si>
    <t>CHRISTIAN YUNARDO MUÑOZ RODRIGUEZ</t>
  </si>
  <si>
    <t>ANTONIO DALMASI ANTIGUA RODRIGUEZ</t>
  </si>
  <si>
    <t>402-2245110-2</t>
  </si>
  <si>
    <t>FREELANCER</t>
  </si>
  <si>
    <t xml:space="preserve">     </t>
  </si>
  <si>
    <t>012-0080591-7</t>
  </si>
  <si>
    <t>ROSARIO ALTAGRACIA VIDAL VALDEZ</t>
  </si>
  <si>
    <t>EVALUADORA DEL DESARROLLO</t>
  </si>
  <si>
    <t>402-3473007-1</t>
  </si>
  <si>
    <t>DARIO CARO SOLIS</t>
  </si>
  <si>
    <t>224-0035680-8</t>
  </si>
  <si>
    <t>EDDY SANTANA</t>
  </si>
  <si>
    <t>TERAPEUTA FÍSICO</t>
  </si>
  <si>
    <t>402-3327358-6</t>
  </si>
  <si>
    <t>CRISTOPHER ISAAC VICENTE CONSUEGRA</t>
  </si>
  <si>
    <t>9603668246</t>
  </si>
  <si>
    <t xml:space="preserve">  </t>
  </si>
  <si>
    <t>001-1218329-8</t>
  </si>
  <si>
    <t>ADRIANA DEL CONTE AYALA</t>
  </si>
  <si>
    <t>402-2174167-7</t>
  </si>
  <si>
    <t>402-2144152-6</t>
  </si>
  <si>
    <t>031-0310026-3</t>
  </si>
  <si>
    <t>223-0116543-1</t>
  </si>
  <si>
    <t>CRISTINA MIGUELINA NUÑEZ</t>
  </si>
  <si>
    <t>122-0002449-0</t>
  </si>
  <si>
    <t>YUDEIRY SANTANA</t>
  </si>
  <si>
    <t>TRABAJADOR SOCIAL</t>
  </si>
  <si>
    <t>001-1719382-1</t>
  </si>
  <si>
    <t>MARTHA JOSEFINA MEJIA DE LEDESMA</t>
  </si>
  <si>
    <t>SUPERVISOR DE MAYORDOMIA</t>
  </si>
  <si>
    <t>402-1088072-6</t>
  </si>
  <si>
    <t>SARAI NICOLE CRUZ ORTIZ</t>
  </si>
  <si>
    <t>013-0039370-7</t>
  </si>
  <si>
    <t>ROSA ELENA DE LA CRUZ</t>
  </si>
  <si>
    <t>001-1860330-7</t>
  </si>
  <si>
    <t>CLARIBEL AMPARO PEREZ</t>
  </si>
  <si>
    <t>061-0027401-5</t>
  </si>
  <si>
    <t>LEANDRO VARGAS ORTEGA</t>
  </si>
  <si>
    <t>402-3956610-8</t>
  </si>
  <si>
    <t>KEVIN SANTIAGO MARCANOS</t>
  </si>
  <si>
    <t>402-0985162-1</t>
  </si>
  <si>
    <t>DANICHA PIMENTEL ROQUE</t>
  </si>
  <si>
    <t>031-0497854-3</t>
  </si>
  <si>
    <t>DENISSE DOLORES RAMOS DIAZ</t>
  </si>
  <si>
    <t>402-2541609-4</t>
  </si>
  <si>
    <t>ORQUIDEA MARIA MOREL GARCIA</t>
  </si>
  <si>
    <t>001-1854697-7</t>
  </si>
  <si>
    <t>KATHERINE MARIA MIRANDA DE TRINIDAD</t>
  </si>
  <si>
    <t>223-0181816-1</t>
  </si>
  <si>
    <t>ABEL ALEXANDER DEL ROSARIO  SIERRA</t>
  </si>
  <si>
    <t>SUPERVISOR DE ALMACEN Y SUMINISTRO</t>
  </si>
  <si>
    <t>001-1622525-1</t>
  </si>
  <si>
    <t>SKANIA MARTE MARTINEZ</t>
  </si>
  <si>
    <t>225-0018663-4</t>
  </si>
  <si>
    <t>WELLINGTHON JOSE ARIAS DE LOS SANTOS</t>
  </si>
  <si>
    <t>SECCION DE ALMACEN Y SUMINISTRO</t>
  </si>
  <si>
    <t>402-0047617-0</t>
  </si>
  <si>
    <t>KIMBERLY GARCIA VALERIO</t>
  </si>
  <si>
    <t>402-3042714-4</t>
  </si>
  <si>
    <t>GIRANDA NOELIS MELO BAEZ</t>
  </si>
  <si>
    <t>001-1930679-3</t>
  </si>
  <si>
    <t>MARFILA LANTIGUA HERNANDEZ</t>
  </si>
  <si>
    <t>402-1840799-3</t>
  </si>
  <si>
    <t>ROSALIA HERNANDEZ ORTIZ</t>
  </si>
  <si>
    <t>031-0516046-3</t>
  </si>
  <si>
    <t>KENIA MARIA FABIAN GABIN</t>
  </si>
  <si>
    <t>402-3564429-7</t>
  </si>
  <si>
    <t>KENIA KEMELY LOPEZ QUEZADA</t>
  </si>
  <si>
    <t>402-1119537-1</t>
  </si>
  <si>
    <t>KARLA GOMEZ HERRERA</t>
  </si>
  <si>
    <t>402-2132686-7</t>
  </si>
  <si>
    <t>ANGELA MARIA MENA PAULINO</t>
  </si>
  <si>
    <t>001-0996768-7</t>
  </si>
  <si>
    <t>ROBERTO ANTONIO DE LA CRUZ ESTRELLA</t>
  </si>
  <si>
    <t>402-1050550-5</t>
  </si>
  <si>
    <t>MILAGROS LIRANZO QUEZADA</t>
  </si>
  <si>
    <t>ENCARGADA DE LA DIVISION DE INTERVENCION TERAPEUTICA</t>
  </si>
  <si>
    <t>ENCARGADO DE LA DIVISION DE ATENCION A GRUPOS Y FAMILIAS</t>
  </si>
  <si>
    <t>ANALISTA DE RECLUTAMIENTO Y SELECCIÓN</t>
  </si>
  <si>
    <t>001-1241450-3</t>
  </si>
  <si>
    <t>ELBA MARIA GARCIA</t>
  </si>
  <si>
    <t>DIVISION DE ATENCION A GRUPOS Y FAMILIAS</t>
  </si>
  <si>
    <t>224-0026835-9</t>
  </si>
  <si>
    <t>LEYDI ANABEL MENA MEJIA</t>
  </si>
  <si>
    <t>402-4555892-5</t>
  </si>
  <si>
    <t>NEKY BEATRIZ FRIAS GUTIERREZ</t>
  </si>
  <si>
    <t>402-2522327-6</t>
  </si>
  <si>
    <t>LOURDES MILAGROS VILLA BAEZ</t>
  </si>
  <si>
    <t>024-0026468-1</t>
  </si>
  <si>
    <t>RAMON ANTONIO MORBAN PEÑA</t>
  </si>
  <si>
    <t>SECCION ADMINISTRACCION DE SERVICIOS DE TIC</t>
  </si>
  <si>
    <t>ENCARGADO DE LA SECCION ADMINISTRACCION DE SERVICIOS DE TIC</t>
  </si>
  <si>
    <t>402-1281897-1</t>
  </si>
  <si>
    <t>ARIANNA ABREU LANTIGUA</t>
  </si>
  <si>
    <t>402-1213925-3</t>
  </si>
  <si>
    <t>ANIBELKA ELIZABETH PEÑA ORTEGA</t>
  </si>
  <si>
    <t>402-2564327-5</t>
  </si>
  <si>
    <t>STEPHANNY PEREZ ZAITER</t>
  </si>
  <si>
    <t>402-3015793-1</t>
  </si>
  <si>
    <t>LIA CAROLINA SORIANO CACERES</t>
  </si>
  <si>
    <t>402-0903512-6</t>
  </si>
  <si>
    <t>MARIA ISABEL CRESPO SEPULVEDA</t>
  </si>
  <si>
    <t>012-0128815-4</t>
  </si>
  <si>
    <t>MERLYN CABRAL BELTRE</t>
  </si>
  <si>
    <t>DEPARTAMENTO TECNOLOGIA DE LA INFORMACION Y COMUNICACIÓN</t>
  </si>
  <si>
    <t>UITT ENSANCHE LUPERON</t>
  </si>
  <si>
    <t>225-0022870-9</t>
  </si>
  <si>
    <t>ANGEL MICHAEL ALMANZAR SOSA</t>
  </si>
  <si>
    <t>001-1223257-4</t>
  </si>
  <si>
    <t>YONNI ALBERTO FELIZ CUEVAS</t>
  </si>
  <si>
    <t>223-0120224-2</t>
  </si>
  <si>
    <t>JUAN KELY CARMONA</t>
  </si>
  <si>
    <t>402-2795134-6</t>
  </si>
  <si>
    <t>FERNANDO LEBRON ENCARNACION</t>
  </si>
  <si>
    <t>402-1445783-6</t>
  </si>
  <si>
    <t>BLADIMIR MAÑON DE LA CRUZ</t>
  </si>
  <si>
    <t>402-2491267-1</t>
  </si>
  <si>
    <t>JESUS MANUEL BAUTISTA SOLIZ</t>
  </si>
  <si>
    <t>ARQUITECTA</t>
  </si>
  <si>
    <t>INGENIERA DE COSTO</t>
  </si>
  <si>
    <t>INGENIERO ESTRUCTURALISTA</t>
  </si>
  <si>
    <t>AUDITOR</t>
  </si>
  <si>
    <t>LISSETT OROZCO SANCHEZ</t>
  </si>
  <si>
    <t>087-0016077-6</t>
  </si>
  <si>
    <t>OLINA MERCEDES CANGE CRUZ</t>
  </si>
  <si>
    <t>001-1637549-4</t>
  </si>
  <si>
    <t>EDDYS ALBERTO DE LEON DE LOS SANTOS</t>
  </si>
  <si>
    <t>402-2201694-7</t>
  </si>
  <si>
    <t>JUDITH MATA JIMENEZ</t>
  </si>
  <si>
    <t>UITT ENSANCHE LUPERÓN</t>
  </si>
  <si>
    <t>402-1244516-3</t>
  </si>
  <si>
    <t>CIANI YOHANNY MARTINEZ REYES</t>
  </si>
  <si>
    <t>402-1355289-2</t>
  </si>
  <si>
    <t>KATHERINE NICOLE FLORENTINO GONZALEZ</t>
  </si>
  <si>
    <t>402-2119719-3</t>
  </si>
  <si>
    <t>ALETIA ORQUIDEA REYES DE DE LA CRUZ</t>
  </si>
  <si>
    <t>047-0137851-7</t>
  </si>
  <si>
    <t>JOSE RAFAEL DIAZ VERAS</t>
  </si>
  <si>
    <t>ENCARGADA DE LITIGIOS</t>
  </si>
  <si>
    <t xml:space="preserve">ELIZABETH  ROSARIO SIRENA </t>
  </si>
  <si>
    <t>DEPARTAMENTO FINANCIERO</t>
  </si>
  <si>
    <t>001-1262541-3</t>
  </si>
  <si>
    <t>SECCION DE LITIGIOS</t>
  </si>
  <si>
    <t>9607494945</t>
  </si>
  <si>
    <t>402-1541657-5</t>
  </si>
  <si>
    <t>ENCARGADA FINANCIERA</t>
  </si>
  <si>
    <t>COORDINADORA DE APOYO PSICOPEDAGOGICO</t>
  </si>
  <si>
    <t>001-1823857-5</t>
  </si>
  <si>
    <t>MARÍA ANGELICA ALONSO PELLERANO</t>
  </si>
  <si>
    <t>402-3887523-7</t>
  </si>
  <si>
    <t>ANDERSON MEJIA</t>
  </si>
  <si>
    <t>402-2091214-7</t>
  </si>
  <si>
    <t>402-2558570-8</t>
  </si>
  <si>
    <t>ERIDELMO FERMIN RUBIO</t>
  </si>
  <si>
    <t>001-0908905-2</t>
  </si>
  <si>
    <t>LUZ ESPERANZA MEJIA CASTILLO</t>
  </si>
  <si>
    <t>402-4104542-2</t>
  </si>
  <si>
    <t>YOHANNY RAMIREZ</t>
  </si>
  <si>
    <t>223-0043663-5</t>
  </si>
  <si>
    <t>ANA KARINA DE LOS SANTOS HERNÁNDEZ</t>
  </si>
  <si>
    <t>402-3316481-9</t>
  </si>
  <si>
    <t>AMELIA MARGARITA MARTINEZ ESPINAL</t>
  </si>
  <si>
    <t>402-1909641-5</t>
  </si>
  <si>
    <t>ESCALE ROSIRY MERCEDES MARTÍNEZ</t>
  </si>
  <si>
    <t>DIVISION DE REGISTRO, CONTROL Y NOMINA</t>
  </si>
  <si>
    <t>DIVISION DE RECLUTAMIENTO Y SELECCIÓN DEL PERSONAL</t>
  </si>
  <si>
    <t>402-2521844-1</t>
  </si>
  <si>
    <t>AMAURY ENRIQUE FRIAS DOTEL</t>
  </si>
  <si>
    <t>001-0209305-1</t>
  </si>
  <si>
    <t>CRISTINA ELIZABETH MENA JIMÉNEZ DE VALERIO</t>
  </si>
  <si>
    <t>001-1027746-4</t>
  </si>
  <si>
    <t>DENNIA MARISOL DEL JESÚS DE JIMÉNEZ</t>
  </si>
  <si>
    <t>ENCARGADA DE SECCIÓN DE INTERVENCIONES TERAPÉUTICAS</t>
  </si>
  <si>
    <t>402-0976129-1</t>
  </si>
  <si>
    <t>JOVANNI DE LA CRUZ SORIANO</t>
  </si>
  <si>
    <t>010-0095295-0</t>
  </si>
  <si>
    <t>WILVIN MATOS VARGAS</t>
  </si>
  <si>
    <t>402-3387222-1</t>
  </si>
  <si>
    <t>ROBERT ALEXANDER MERAN MERAN</t>
  </si>
  <si>
    <t>402-2638973-8</t>
  </si>
  <si>
    <t>LEUDY ALCANTARÁ MIESES</t>
  </si>
  <si>
    <t>402-2449541-2</t>
  </si>
  <si>
    <t>402-3774055-6</t>
  </si>
  <si>
    <t>JUAN SORIANO DE LOS SANTOS</t>
  </si>
  <si>
    <t>402-2004502-1</t>
  </si>
  <si>
    <t>MARCOS CÉSAR MONTAS MATA</t>
  </si>
  <si>
    <t>JOSE STEVERSON RODRIGUEZ BATISTA</t>
  </si>
  <si>
    <t>LUIS ALBERTO PAULINO MEDINA</t>
  </si>
  <si>
    <t>SECCION DE ARCHIVO Y CORRESPONDENCIA</t>
  </si>
  <si>
    <t>SECCION DE INTERVENCION TERAPEUTICA TERRITORIAL</t>
  </si>
  <si>
    <t>SECCIÓN DE INTERVENCIONES TERAPÉUTICA TERRITORIAL</t>
  </si>
  <si>
    <t>TÉCNICO DE ENTRENAMIENTO A FAMILIA</t>
  </si>
  <si>
    <t>402-1966560-7</t>
  </si>
  <si>
    <t>CRISMEL SANCHEZ RODRIGUEZ</t>
  </si>
  <si>
    <t>129-0002989-8</t>
  </si>
  <si>
    <t>HENRY ENCARNACION ZABALA</t>
  </si>
  <si>
    <t>402-3651183-4</t>
  </si>
  <si>
    <t>CINTHIA MARIA CONCEPCION MICHEL</t>
  </si>
  <si>
    <t>402-1246982-5</t>
  </si>
  <si>
    <t>MARIA FERNANDA POLANCO MARTINEZ</t>
  </si>
  <si>
    <t>001-0844656-8</t>
  </si>
  <si>
    <t>ARACELIS REYES MENDEZ</t>
  </si>
  <si>
    <t>402-0897512-4</t>
  </si>
  <si>
    <t>EDGAR FRANCISCO REINOSO ALVAREZ</t>
  </si>
  <si>
    <t>001-0529295-7</t>
  </si>
  <si>
    <t>CELENIA ANTONIA CARLOT SABINO</t>
  </si>
  <si>
    <t>ANALISTA FINANCIERA</t>
  </si>
  <si>
    <t>ANALISTA LEGAL</t>
  </si>
  <si>
    <t>ENC. DE LA DIVISION DE DISEÑO Y ADECUACIONES</t>
  </si>
  <si>
    <t>ENC. OFICINA DE ACCESO A LA INFORMACION (RAI)</t>
  </si>
  <si>
    <t>ENC. DEL DEPARTAMENTO DE INFRAESTRUCTURA</t>
  </si>
  <si>
    <t>ENC. DEL DEPARTAMENTO DE PSICOPEDAGOGIA E INCLUSION</t>
  </si>
  <si>
    <t>ENC. DE LA DIVISIÓN DE CONTABILIDAD</t>
  </si>
  <si>
    <t>TERAPEUTA DE APOYO PSICOPEDAGÓGICO</t>
  </si>
  <si>
    <t>402-2848766-2</t>
  </si>
  <si>
    <t>ORIANNA JACQUELINE MATOS SANCHEZ</t>
  </si>
  <si>
    <t>001-0357449-7</t>
  </si>
  <si>
    <t>ANA CLAUDIA POLANCO DE MENDEZ</t>
  </si>
  <si>
    <t>402-2243960-2</t>
  </si>
  <si>
    <t>JERIZA ERITFER PEÑA CUEVAS</t>
  </si>
  <si>
    <t>402-3413231-0</t>
  </si>
  <si>
    <t>ARANTXA ABRIL RUIZ CABRERA</t>
  </si>
  <si>
    <t>001-1815437-6</t>
  </si>
  <si>
    <t>DENNYSE MAIRENY BRISEÑO PEÑA</t>
  </si>
  <si>
    <t>008-0034177-8</t>
  </si>
  <si>
    <t>KATHERINE ESTHER BENITEZ MERCEDES</t>
  </si>
  <si>
    <t>JONATHAN SHEMPTEL RIVERA POLO</t>
  </si>
  <si>
    <t xml:space="preserve">DEPARTAMENTO DE ATENCION Y TERAPIAS </t>
  </si>
  <si>
    <t>DEPARTAMENTO JURIDICO</t>
  </si>
  <si>
    <t>DIVISION DE DISEÑO Y ADECUACIONES</t>
  </si>
  <si>
    <t>DEPARTAMENTO DE PSICOPEDAGOGIA E INCLUSION</t>
  </si>
  <si>
    <t>SUPERVISOR DE UNIDAD</t>
  </si>
  <si>
    <t>001-0559271-1</t>
  </si>
  <si>
    <t>RICHARD KING ABREU</t>
  </si>
  <si>
    <t>223-0179344-8</t>
  </si>
  <si>
    <t>AMBIORYS REYES SANCHEZ</t>
  </si>
  <si>
    <t>402-1369984-2</t>
  </si>
  <si>
    <t>JONATHAN RAFAEL SEGURA SOTO</t>
  </si>
  <si>
    <t>008-0036509-0</t>
  </si>
  <si>
    <t>JOSE MIGUEL MEJIA BRITO</t>
  </si>
  <si>
    <t>402-2468667-1</t>
  </si>
  <si>
    <t>ROSANNA PIETER TEJEDA</t>
  </si>
  <si>
    <t>402-3147915-1</t>
  </si>
  <si>
    <t>JOSE MANUEL ADAMES FELIZ</t>
  </si>
  <si>
    <t>SECCION DE  DESARROLLO E IMPLEMENTACION DE SISTEMAS</t>
  </si>
  <si>
    <t>DEPARTAMENTO DE INFRAESTRUCTURA</t>
  </si>
  <si>
    <t>DEPARTAMENTO ADMINISTRATIVO</t>
  </si>
  <si>
    <t>DIVISION DE MANTENIMIENTO</t>
  </si>
  <si>
    <t>DEPARTAMENTO DE INFRACTRUCTURA</t>
  </si>
  <si>
    <t>OFICINA DE ACCESO A LA INFORMACION -RAI</t>
  </si>
  <si>
    <t>DEPARTAMENTO DE GESTION Y MONITOREO DE SERVICIOS</t>
  </si>
  <si>
    <t>ENCARGADO DEPARTAMENTO JURIDICO</t>
  </si>
  <si>
    <t>DIVISION DE MONITOREO DE SERVICIOS</t>
  </si>
  <si>
    <t>DIVISION DE TESORERIA</t>
  </si>
  <si>
    <t>DEPARTAMENTO COMUNICACIONES</t>
  </si>
  <si>
    <t>SECCION DE INTERVENCIONES TERAPEUTICAS TERRITORIAL</t>
  </si>
  <si>
    <t>Nómina Diciembre 2024</t>
  </si>
  <si>
    <t>056-0155443-8</t>
  </si>
  <si>
    <t>DANELA GERTRUDIS ALVÁREZ BETANCES</t>
  </si>
  <si>
    <t>123-0015738-0</t>
  </si>
  <si>
    <t>MARÍA JOSEFINA ALCANTARA ALBERTO</t>
  </si>
  <si>
    <t>031-0574615-4</t>
  </si>
  <si>
    <t>DIANA CAROLINA LIRIANO TRINIDAD</t>
  </si>
  <si>
    <t>402-1828064-8</t>
  </si>
  <si>
    <t>NAYELI DEL CARMEN DE PEÑA NÚÑEZ</t>
  </si>
  <si>
    <t>001-1439322-6</t>
  </si>
  <si>
    <t>YOKASTA ALTAGRACIA GARCÍA POLANCO</t>
  </si>
  <si>
    <t>167-0000017-3</t>
  </si>
  <si>
    <t>YOJENDY YASIRIS CUELLO DE OLIVERO</t>
  </si>
  <si>
    <t>001-1293192-8</t>
  </si>
  <si>
    <t>402-2210883-5</t>
  </si>
  <si>
    <t>JOSÉ MIGUEL NÚÑEZ SOLANO</t>
  </si>
  <si>
    <t>001-1813280-2</t>
  </si>
  <si>
    <t>ANGIE SABRINA JIMÉNEZ GARCÍA</t>
  </si>
  <si>
    <t>225-0063987-1</t>
  </si>
  <si>
    <t>ROSSY MARÍA LORA VÁSQUEZ</t>
  </si>
  <si>
    <t>402-2981297-5</t>
  </si>
  <si>
    <t>402-0071199-8</t>
  </si>
  <si>
    <t>GÉNESIS NICOLE GÓMEZ CALCAÑO</t>
  </si>
  <si>
    <t>402-2675702-5</t>
  </si>
  <si>
    <t>OSMARY ALMONTE VARGAS</t>
  </si>
  <si>
    <t>001-0752477-9</t>
  </si>
  <si>
    <t>YAMILA SEBUYE LUIS</t>
  </si>
  <si>
    <t>224-0012253-1</t>
  </si>
  <si>
    <t>YANIRIS DE LA CRUZ HILARIO</t>
  </si>
  <si>
    <t>ANA GUILLERMINA REYES ADAMES</t>
  </si>
  <si>
    <t>KIMBERLY ISABEL TAVAREZ ROA</t>
  </si>
  <si>
    <t>PATRICIA DE LUNA DE TRINIDAD</t>
  </si>
  <si>
    <t>COORDINADORA DE INTERVENCION CONDUCTUAL</t>
  </si>
  <si>
    <t>ENCARGADA DE LA DIVISION DE EVALUACION DEL DESARROLLO</t>
  </si>
  <si>
    <t>ENCARGADA DEL DEPARTAMENTO DE COMUNICACIONES</t>
  </si>
  <si>
    <t>402-0071254-1</t>
  </si>
  <si>
    <t>MARIELA ARIAS MORA</t>
  </si>
  <si>
    <t>402-0054995-0</t>
  </si>
  <si>
    <t>PRISCILA MARIE  PERALTA MODESTO</t>
  </si>
  <si>
    <t>402-2184134-5</t>
  </si>
  <si>
    <t>CARLOS MANUEL GÓMEZ RODRÍGUEZ</t>
  </si>
  <si>
    <t>402-1112151-8</t>
  </si>
  <si>
    <t>NICOLE PÉREZ CANDELARIO</t>
  </si>
  <si>
    <t>031-0031359-6</t>
  </si>
  <si>
    <t>DAYSI ALTAGRACIA SARITA ALVÁREZ</t>
  </si>
  <si>
    <t>402-0961839-2</t>
  </si>
  <si>
    <t>MARÍA JOSÉ MUÑOZ BAEZ</t>
  </si>
  <si>
    <t>402-3707011-1</t>
  </si>
  <si>
    <t>MABEL ALTAGRACIA FILPO FERNÁNDEZ</t>
  </si>
  <si>
    <t>402-0916599-8</t>
  </si>
  <si>
    <t>ARLEEN SABATER RAMIREZ</t>
  </si>
  <si>
    <t>402-1171840-4</t>
  </si>
  <si>
    <t>SHANELY LOPEZ NUÑEZ</t>
  </si>
  <si>
    <t>402-2356146-1</t>
  </si>
  <si>
    <t>ADELYN DALINA BRITO PARRA DE DELGADO</t>
  </si>
  <si>
    <t>402-2023768-5</t>
  </si>
  <si>
    <t>ALEXANDRA QUEZADA RODRÍGUEZ</t>
  </si>
  <si>
    <t>402-3223631-1</t>
  </si>
  <si>
    <t>ARIANNA XIOMARA REYES GARCÍA</t>
  </si>
  <si>
    <t>402-1914641-8</t>
  </si>
  <si>
    <t>CARMEN ROSA MENDOZA CHECO</t>
  </si>
  <si>
    <t>054-0152190-0</t>
  </si>
  <si>
    <t>FRANKEE ESMITH TEJADA JIMENEZ</t>
  </si>
  <si>
    <t>402-0962090-1</t>
  </si>
  <si>
    <t xml:space="preserve">GLEISY MAGDALENA ARIAS BURGOS </t>
  </si>
  <si>
    <t>402-1450764-8</t>
  </si>
  <si>
    <t>JACMEL JOSEFINA SANCHEZ POLANCO</t>
  </si>
  <si>
    <t>402-1862406-8</t>
  </si>
  <si>
    <t>LAURA NICOLE CORDERO RODRÍGUEZ</t>
  </si>
  <si>
    <t>402-1188197-0</t>
  </si>
  <si>
    <t>LILIBEL MUÑOZ PEÑA</t>
  </si>
  <si>
    <t>402-2488749-3</t>
  </si>
  <si>
    <t>MAITE FIORELLA COSME ALBA</t>
  </si>
  <si>
    <t>402-1307916-9</t>
  </si>
  <si>
    <t>NAYELY DEL CARMEN PORTORREAL GARCIA</t>
  </si>
  <si>
    <t>402-2268365-4</t>
  </si>
  <si>
    <t xml:space="preserve">PAMELA LAFONTAINE REYES </t>
  </si>
  <si>
    <t>402-0983366-0</t>
  </si>
  <si>
    <t xml:space="preserve">PAULA YAMEL TUPETE RODRIGUEZ </t>
  </si>
  <si>
    <t>402-2515751-6</t>
  </si>
  <si>
    <t>ROSLINE REINOSO ROSARIO</t>
  </si>
  <si>
    <t>402-1032275-2</t>
  </si>
  <si>
    <t>YENELY ALTAGRACIA ESCAÑO VENTURA</t>
  </si>
  <si>
    <t>402-2403036-7</t>
  </si>
  <si>
    <t>YENNIFER ESPINAL DE GONZÁLEZ</t>
  </si>
  <si>
    <t>012-0086135-7</t>
  </si>
  <si>
    <t>MARLENE YAKAIRA HERRERA HERRERA</t>
  </si>
  <si>
    <t>402-1155764-6</t>
  </si>
  <si>
    <t>JEREMY JOSÉ NÚÑEZ HERNÁNDEZ</t>
  </si>
  <si>
    <t>ENCARGADO DE LA DIVISION DE MANTENIMIENTO</t>
  </si>
  <si>
    <t>SECCION DE DESARROLLO E IMPLEMENTACION DE SISTEMAS</t>
  </si>
  <si>
    <t>ANALISTA DE SISTEMAS INFORMATICOS</t>
  </si>
  <si>
    <t>TERAPEUTA DE INTERVENCION CONDUCTUAL</t>
  </si>
  <si>
    <t>ENCARGADO DE LA DIVISION DE SERVICIO SOCIAL</t>
  </si>
  <si>
    <t>MANUEL IVAN TOLENTINO RODRIGUEZ</t>
  </si>
  <si>
    <t>DIVISION DE DESARROLLO INSTITUCIONAL Y CALIDAD DE LA GESTION</t>
  </si>
  <si>
    <t>TECNICO DE CALIDAD DE LA GESTION</t>
  </si>
  <si>
    <t>402-3102528-5</t>
  </si>
  <si>
    <t>LUIS FERNANDO MATOS MONTES DE OCA</t>
  </si>
  <si>
    <t>402-3006520-9</t>
  </si>
  <si>
    <t>DYLAN ENMANUEL PEREZ ESPINO</t>
  </si>
  <si>
    <t>ASESORA PROYECTO "UNIDADES DE INTERVENCIÓN TERAPÉUTICAS TERRITORIALES"</t>
  </si>
  <si>
    <t>223-0068390-5</t>
  </si>
  <si>
    <t>BENDL RIVIERE</t>
  </si>
  <si>
    <t>094-0003707-4</t>
  </si>
  <si>
    <t>EUSEBIO CABRERA CABRERA</t>
  </si>
  <si>
    <t>402-0925197-0</t>
  </si>
  <si>
    <t>CYNTHIA VINAS VILLAR</t>
  </si>
  <si>
    <t>402-2497388-9</t>
  </si>
  <si>
    <t>STEPHANIE TURBI POLANCO</t>
  </si>
  <si>
    <t xml:space="preserve">TERAPEUTA </t>
  </si>
  <si>
    <t>Eventual</t>
  </si>
  <si>
    <t xml:space="preserve">COORDINADOR </t>
  </si>
  <si>
    <t>NOMINA DE EMPLEADO ENERO 2025</t>
  </si>
  <si>
    <t>Nómina Enero 2025</t>
  </si>
  <si>
    <t>CAID-0207-01-01-0031- CENTRO ATENCIÓN INTEGRAL PARA DISCAPACIDAD - NUEVO INGRESO ENERO 2025</t>
  </si>
  <si>
    <t>CAID-0207-01-01-0031- CENTRO ATENCIÓN INTEGRAL PARA DISCAPACIDAD - REAJUSTE SALARIAL ENERO 2025</t>
  </si>
  <si>
    <t>CAID-0207-01-01-0031- CENTRO ATENCIÓN INTEGRAL PARA DISCAPACIDAD - SALIDAS DEL PERSONAL ENERO 2025</t>
  </si>
  <si>
    <t>CAID-0207-01-01-0031- CENTRO ATENCIÓN INTEGRAL PARA DISCAPACIDAD - ENERO 2025</t>
  </si>
  <si>
    <t>CAID-0207-01-01-0031- CENTRO ATENCIÓN INTEGRAL PARA DISCAPACIDAD - REAJUSTE SALARIAL  ENERO 2025</t>
  </si>
  <si>
    <t>CAID-0207-01-01-0031- CENTRO ATENCIÓN INTEGRAL PARA DISCAPACIDAD - SALIDAS DEL PERSONAL  ENERO 2025</t>
  </si>
  <si>
    <t>CAID-0207-01-01-0031- CENTRO ATENCIÓN INTEGRAL PARA DISCAPACIDAD - SALIDAS SALARIAL  ENERO 2025</t>
  </si>
  <si>
    <t>CAID-0207-01-01-0031- CENTRO ATENCIÓN INTEGRAL PARA DISCAPACIDAD - SALIDAS DE PERSONAL  ENERO 2025</t>
  </si>
  <si>
    <t>CAID-0207-01-01-0031- CENTRO ATENCIÓN INTEGRAL PARA DISCAPACIDAD - INGRESOS  ENERO 2025</t>
  </si>
  <si>
    <t>CAID-0207-01-01-0031- CENTRO ATENCIÓN INTEGRAL PARA DISCAPACIDAD - NUEVO INGRESO  ENERO 2025</t>
  </si>
  <si>
    <t>CAID-0207-01-01-0031- CENTRO ATENCIÓN INTEGRAL PARA DISCAPACIDAD - NUEVO REAJUSTE ENERO 2025</t>
  </si>
  <si>
    <t>Fija</t>
  </si>
  <si>
    <t>SUSTITUCION</t>
  </si>
  <si>
    <t>N/A</t>
  </si>
  <si>
    <t>223-0039352-1</t>
  </si>
  <si>
    <t>MIGUEL ANGEL SANDOVAL MINAYA</t>
  </si>
  <si>
    <t>9603012739</t>
  </si>
  <si>
    <t>RENUNCIA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</si>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</sst>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dd\-mmm\-yy;@"/>
    <numFmt numFmtId="166" formatCode="dd/mm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1"/>
      <color theme="1"/>
      <name val="Calibri Light"/>
      <family val="2"/>
    </font>
    <font>
      <sz val="12"/>
      <name val="Calibri Light"/>
      <family val="2"/>
    </font>
    <font>
      <b/>
      <sz val="11"/>
      <color theme="1"/>
      <name val="Calibri"/>
      <family val="2"/>
      <scheme val="minor"/>
    </font>
    <font>
      <sz val="1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2"/>
      <color theme="9" tint="0.59999389629810485"/>
      <name val="Calibri Light"/>
      <family val="2"/>
    </font>
    <font>
      <b/>
      <sz val="12"/>
      <color rgb="FFFF0000"/>
      <name val="Calibri Light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Tahoma"/>
      <family val="2"/>
    </font>
    <font>
      <sz val="9"/>
      <color indexed="8"/>
      <name val="Tahoma"/>
      <family val="2"/>
    </font>
    <font>
      <b/>
      <u val="singleAccounting"/>
      <sz val="11"/>
      <color theme="1"/>
      <name val="Calibri Light"/>
      <family val="2"/>
    </font>
    <font>
      <sz val="12"/>
      <color rgb="FFFF0000"/>
      <name val="Calibri Light"/>
      <family val="2"/>
    </font>
    <font>
      <sz val="11"/>
      <color rgb="FF3F3F76"/>
      <name val="Calibri"/>
      <family val="2"/>
      <scheme val="minor"/>
    </font>
    <font>
      <b/>
      <sz val="11"/>
      <name val="Calibri Light"/>
      <family val="2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6122"/>
        <bgColor indexed="64"/>
      </patternFill>
    </fill>
    <fill>
      <patternFill patternType="solid">
        <fgColor rgb="FF44ADE2"/>
        <bgColor indexed="64"/>
      </patternFill>
    </fill>
    <fill>
      <patternFill patternType="solid">
        <fgColor rgb="FF73B160"/>
        <bgColor indexed="64"/>
      </patternFill>
    </fill>
    <fill>
      <patternFill patternType="solid">
        <fgColor rgb="FFF3A453"/>
        <bgColor indexed="64"/>
      </patternFill>
    </fill>
    <fill>
      <patternFill patternType="solid">
        <fgColor rgb="FFFFCC9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27" fillId="23" borderId="39" applyNumberFormat="0" applyAlignment="0" applyProtection="0"/>
  </cellStyleXfs>
  <cellXfs count="422">
    <xf numFmtId="0" fontId="0" fillId="0" borderId="0" xfId="0"/>
    <xf numFmtId="43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 wrapText="1"/>
    </xf>
    <xf numFmtId="43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17" fontId="2" fillId="3" borderId="10" xfId="0" applyNumberFormat="1" applyFont="1" applyFill="1" applyBorder="1" applyAlignment="1">
      <alignment horizontal="center" vertical="center" wrapText="1"/>
    </xf>
    <xf numFmtId="17" fontId="2" fillId="3" borderId="1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9" fontId="7" fillId="0" borderId="0" xfId="2" applyFont="1" applyFill="1" applyBorder="1" applyAlignment="1">
      <alignment horizontal="center" vertical="center"/>
    </xf>
    <xf numFmtId="0" fontId="6" fillId="4" borderId="0" xfId="0" applyFont="1" applyFill="1" applyAlignment="1">
      <alignment vertical="top" wrapText="1"/>
    </xf>
    <xf numFmtId="43" fontId="3" fillId="0" borderId="1" xfId="1" applyFont="1" applyBorder="1"/>
    <xf numFmtId="0" fontId="8" fillId="0" borderId="0" xfId="0" applyFont="1"/>
    <xf numFmtId="17" fontId="7" fillId="0" borderId="0" xfId="0" applyNumberFormat="1" applyFont="1" applyAlignment="1">
      <alignment horizontal="center"/>
    </xf>
    <xf numFmtId="17" fontId="7" fillId="3" borderId="14" xfId="0" applyNumberFormat="1" applyFont="1" applyFill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10" fontId="8" fillId="0" borderId="18" xfId="2" applyNumberFormat="1" applyFont="1" applyFill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10" fontId="8" fillId="0" borderId="24" xfId="2" applyNumberFormat="1" applyFont="1" applyFill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0" fontId="2" fillId="8" borderId="6" xfId="2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7" fontId="9" fillId="5" borderId="2" xfId="0" applyNumberFormat="1" applyFont="1" applyFill="1" applyBorder="1" applyAlignment="1">
      <alignment horizontal="center" vertical="center"/>
    </xf>
    <xf numFmtId="17" fontId="12" fillId="5" borderId="2" xfId="0" applyNumberFormat="1" applyFont="1" applyFill="1" applyBorder="1" applyAlignment="1">
      <alignment horizontal="center" vertical="center"/>
    </xf>
    <xf numFmtId="17" fontId="12" fillId="5" borderId="2" xfId="0" applyNumberFormat="1" applyFont="1" applyFill="1" applyBorder="1" applyAlignment="1">
      <alignment horizontal="center" vertical="center" wrapText="1"/>
    </xf>
    <xf numFmtId="9" fontId="12" fillId="5" borderId="2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1" xfId="0" applyFont="1" applyBorder="1"/>
    <xf numFmtId="17" fontId="12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right"/>
    </xf>
    <xf numFmtId="43" fontId="12" fillId="0" borderId="1" xfId="1" applyFont="1" applyBorder="1" applyAlignment="1">
      <alignment horizontal="center"/>
    </xf>
    <xf numFmtId="43" fontId="8" fillId="0" borderId="1" xfId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43" fontId="7" fillId="0" borderId="4" xfId="1" applyFont="1" applyBorder="1" applyAlignment="1">
      <alignment horizontal="center"/>
    </xf>
    <xf numFmtId="43" fontId="8" fillId="0" borderId="1" xfId="1" applyFont="1" applyFill="1" applyBorder="1" applyAlignment="1" applyProtection="1">
      <alignment horizontal="right"/>
    </xf>
    <xf numFmtId="0" fontId="7" fillId="0" borderId="0" xfId="0" applyFont="1"/>
    <xf numFmtId="0" fontId="8" fillId="2" borderId="0" xfId="0" applyFont="1" applyFill="1"/>
    <xf numFmtId="43" fontId="8" fillId="0" borderId="26" xfId="1" applyFont="1" applyFill="1" applyBorder="1" applyAlignment="1">
      <alignment horizontal="right"/>
    </xf>
    <xf numFmtId="43" fontId="8" fillId="0" borderId="26" xfId="1" applyFont="1" applyFill="1" applyBorder="1" applyAlignment="1" applyProtection="1">
      <alignment horizontal="right"/>
    </xf>
    <xf numFmtId="43" fontId="8" fillId="0" borderId="26" xfId="1" applyFont="1" applyBorder="1" applyAlignment="1" applyProtection="1">
      <alignment horizontal="right"/>
    </xf>
    <xf numFmtId="43" fontId="8" fillId="0" borderId="26" xfId="1" applyFont="1" applyBorder="1" applyAlignment="1">
      <alignment horizontal="right"/>
    </xf>
    <xf numFmtId="43" fontId="8" fillId="0" borderId="26" xfId="1" applyFont="1" applyBorder="1" applyAlignment="1">
      <alignment horizontal="right"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1" xfId="1" applyNumberFormat="1" applyFont="1" applyFill="1" applyBorder="1" applyAlignment="1">
      <alignment horizontal="right"/>
    </xf>
    <xf numFmtId="43" fontId="8" fillId="0" borderId="1" xfId="1" applyFont="1" applyFill="1" applyBorder="1" applyAlignment="1">
      <alignment horizontal="right" vertical="center"/>
    </xf>
    <xf numFmtId="39" fontId="8" fillId="0" borderId="0" xfId="0" applyNumberFormat="1" applyFont="1"/>
    <xf numFmtId="43" fontId="8" fillId="0" borderId="0" xfId="1" applyFont="1"/>
    <xf numFmtId="43" fontId="8" fillId="0" borderId="0" xfId="0" applyNumberFormat="1" applyFont="1"/>
    <xf numFmtId="0" fontId="2" fillId="10" borderId="3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/>
    </xf>
    <xf numFmtId="43" fontId="7" fillId="9" borderId="7" xfId="1" applyFont="1" applyFill="1" applyBorder="1"/>
    <xf numFmtId="43" fontId="7" fillId="14" borderId="7" xfId="1" applyFont="1" applyFill="1" applyBorder="1"/>
    <xf numFmtId="0" fontId="2" fillId="11" borderId="7" xfId="0" applyFont="1" applyFill="1" applyBorder="1" applyAlignment="1">
      <alignment horizontal="center" vertical="center" wrapText="1"/>
    </xf>
    <xf numFmtId="0" fontId="2" fillId="11" borderId="28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center" vertical="center" wrapText="1"/>
    </xf>
    <xf numFmtId="43" fontId="7" fillId="12" borderId="7" xfId="1" applyFont="1" applyFill="1" applyBorder="1"/>
    <xf numFmtId="10" fontId="7" fillId="0" borderId="0" xfId="0" applyNumberFormat="1" applyFont="1" applyAlignment="1">
      <alignment horizontal="center"/>
    </xf>
    <xf numFmtId="17" fontId="7" fillId="0" borderId="32" xfId="0" applyNumberFormat="1" applyFont="1" applyBorder="1" applyAlignment="1">
      <alignment horizontal="center"/>
    </xf>
    <xf numFmtId="10" fontId="7" fillId="0" borderId="32" xfId="0" applyNumberFormat="1" applyFont="1" applyBorder="1" applyAlignment="1">
      <alignment horizontal="center"/>
    </xf>
    <xf numFmtId="43" fontId="8" fillId="0" borderId="0" xfId="1" applyFont="1" applyFill="1"/>
    <xf numFmtId="43" fontId="0" fillId="0" borderId="0" xfId="1" applyFont="1"/>
    <xf numFmtId="43" fontId="0" fillId="0" borderId="0" xfId="0" applyNumberFormat="1"/>
    <xf numFmtId="43" fontId="7" fillId="0" borderId="0" xfId="1" applyFont="1"/>
    <xf numFmtId="0" fontId="7" fillId="14" borderId="7" xfId="0" applyFont="1" applyFill="1" applyBorder="1" applyAlignment="1">
      <alignment horizontal="center" vertical="center" wrapText="1"/>
    </xf>
    <xf numFmtId="0" fontId="7" fillId="14" borderId="28" xfId="0" applyFont="1" applyFill="1" applyBorder="1" applyAlignment="1">
      <alignment horizontal="center" vertical="center" wrapText="1"/>
    </xf>
    <xf numFmtId="0" fontId="7" fillId="14" borderId="29" xfId="0" applyFont="1" applyFill="1" applyBorder="1" applyAlignment="1">
      <alignment horizontal="center" vertical="center"/>
    </xf>
    <xf numFmtId="0" fontId="7" fillId="14" borderId="28" xfId="0" applyFont="1" applyFill="1" applyBorder="1" applyAlignment="1">
      <alignment horizontal="center" vertical="center"/>
    </xf>
    <xf numFmtId="0" fontId="7" fillId="14" borderId="30" xfId="0" applyFont="1" applyFill="1" applyBorder="1" applyAlignment="1">
      <alignment horizontal="center" vertical="center" wrapText="1"/>
    </xf>
    <xf numFmtId="0" fontId="7" fillId="14" borderId="29" xfId="0" applyFont="1" applyFill="1" applyBorder="1" applyAlignment="1">
      <alignment horizontal="center" vertical="center" wrapText="1"/>
    </xf>
    <xf numFmtId="0" fontId="7" fillId="14" borderId="31" xfId="0" applyFont="1" applyFill="1" applyBorder="1" applyAlignment="1">
      <alignment horizontal="center" vertical="center" wrapText="1"/>
    </xf>
    <xf numFmtId="0" fontId="7" fillId="14" borderId="3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/>
    </xf>
    <xf numFmtId="43" fontId="15" fillId="0" borderId="0" xfId="2" applyNumberFormat="1" applyFont="1"/>
    <xf numFmtId="0" fontId="8" fillId="0" borderId="0" xfId="0" applyFont="1" applyAlignment="1">
      <alignment horizontal="right"/>
    </xf>
    <xf numFmtId="0" fontId="18" fillId="6" borderId="1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7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3" fontId="8" fillId="2" borderId="26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right"/>
    </xf>
    <xf numFmtId="17" fontId="7" fillId="17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43" fontId="8" fillId="0" borderId="0" xfId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20" fillId="0" borderId="0" xfId="0" applyNumberFormat="1" applyFont="1"/>
    <xf numFmtId="0" fontId="17" fillId="9" borderId="3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3" fillId="9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4" fontId="18" fillId="6" borderId="1" xfId="3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4" fontId="13" fillId="0" borderId="1" xfId="3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4" fontId="17" fillId="0" borderId="0" xfId="3" applyFont="1" applyAlignment="1">
      <alignment vertical="center" wrapText="1"/>
    </xf>
    <xf numFmtId="1" fontId="17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3" fillId="0" borderId="0" xfId="3" applyFont="1" applyFill="1" applyBorder="1" applyAlignment="1">
      <alignment vertical="center" wrapText="1"/>
    </xf>
    <xf numFmtId="44" fontId="13" fillId="0" borderId="0" xfId="3" applyFont="1" applyAlignment="1">
      <alignment vertical="center" wrapText="1"/>
    </xf>
    <xf numFmtId="44" fontId="17" fillId="0" borderId="36" xfId="3" applyFont="1" applyBorder="1" applyAlignment="1">
      <alignment vertical="center" wrapText="1"/>
    </xf>
    <xf numFmtId="44" fontId="13" fillId="0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14" borderId="6" xfId="0" applyFont="1" applyFill="1" applyBorder="1" applyAlignment="1">
      <alignment horizontal="center"/>
    </xf>
    <xf numFmtId="0" fontId="17" fillId="9" borderId="33" xfId="0" applyFont="1" applyFill="1" applyBorder="1" applyAlignment="1">
      <alignment vertical="center"/>
    </xf>
    <xf numFmtId="0" fontId="17" fillId="9" borderId="0" xfId="0" applyFont="1" applyFill="1" applyAlignment="1">
      <alignment vertical="center"/>
    </xf>
    <xf numFmtId="44" fontId="21" fillId="0" borderId="0" xfId="0" applyNumberFormat="1" applyFont="1"/>
    <xf numFmtId="17" fontId="7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12" borderId="6" xfId="0" applyFont="1" applyFill="1" applyBorder="1" applyAlignment="1">
      <alignment horizontal="left"/>
    </xf>
    <xf numFmtId="0" fontId="2" fillId="19" borderId="28" xfId="0" applyFont="1" applyFill="1" applyBorder="1" applyAlignment="1">
      <alignment horizontal="center" vertical="center" wrapText="1"/>
    </xf>
    <xf numFmtId="0" fontId="2" fillId="19" borderId="29" xfId="0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horizontal="center" vertical="center"/>
    </xf>
    <xf numFmtId="0" fontId="2" fillId="19" borderId="30" xfId="0" applyFont="1" applyFill="1" applyBorder="1" applyAlignment="1">
      <alignment horizontal="center" vertical="center" wrapText="1"/>
    </xf>
    <xf numFmtId="0" fontId="2" fillId="19" borderId="29" xfId="0" applyFont="1" applyFill="1" applyBorder="1" applyAlignment="1">
      <alignment horizontal="center" vertical="center" wrapText="1"/>
    </xf>
    <xf numFmtId="0" fontId="2" fillId="19" borderId="31" xfId="0" applyFont="1" applyFill="1" applyBorder="1" applyAlignment="1">
      <alignment horizontal="center" vertical="center" wrapText="1"/>
    </xf>
    <xf numFmtId="0" fontId="2" fillId="19" borderId="34" xfId="0" applyFont="1" applyFill="1" applyBorder="1" applyAlignment="1">
      <alignment horizontal="center" vertical="center" wrapText="1"/>
    </xf>
    <xf numFmtId="44" fontId="17" fillId="0" borderId="0" xfId="3" applyFont="1" applyFill="1" applyBorder="1" applyAlignment="1">
      <alignment vertical="center" wrapText="1"/>
    </xf>
    <xf numFmtId="44" fontId="15" fillId="0" borderId="0" xfId="0" applyNumberFormat="1" applyFont="1"/>
    <xf numFmtId="44" fontId="13" fillId="0" borderId="36" xfId="3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9" fontId="8" fillId="0" borderId="2" xfId="1" applyNumberFormat="1" applyFont="1" applyFill="1" applyBorder="1" applyAlignment="1">
      <alignment horizontal="right" vertical="center"/>
    </xf>
    <xf numFmtId="43" fontId="8" fillId="0" borderId="1" xfId="1" applyFont="1" applyFill="1" applyBorder="1" applyAlignment="1" applyProtection="1">
      <alignment horizontal="right" vertical="center"/>
    </xf>
    <xf numFmtId="0" fontId="13" fillId="0" borderId="0" xfId="0" quotePrefix="1" applyFont="1" applyAlignment="1">
      <alignment horizontal="center" vertical="center"/>
    </xf>
    <xf numFmtId="44" fontId="17" fillId="0" borderId="0" xfId="3" applyFont="1" applyBorder="1" applyAlignment="1">
      <alignment vertical="center" wrapText="1"/>
    </xf>
    <xf numFmtId="44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39" fontId="8" fillId="0" borderId="26" xfId="1" applyNumberFormat="1" applyFont="1" applyFill="1" applyBorder="1" applyAlignment="1">
      <alignment horizontal="right" vertical="center"/>
    </xf>
    <xf numFmtId="43" fontId="8" fillId="0" borderId="26" xfId="1" applyFont="1" applyFill="1" applyBorder="1" applyAlignment="1" applyProtection="1">
      <alignment horizontal="right" vertical="center"/>
    </xf>
    <xf numFmtId="43" fontId="8" fillId="0" borderId="26" xfId="1" applyFont="1" applyFill="1" applyBorder="1" applyAlignment="1">
      <alignment horizontal="right" vertical="center"/>
    </xf>
    <xf numFmtId="49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4" fontId="13" fillId="2" borderId="1" xfId="3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4" fontId="13" fillId="0" borderId="4" xfId="3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1" fontId="17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44" fontId="13" fillId="2" borderId="0" xfId="3" applyFont="1" applyFill="1" applyBorder="1" applyAlignment="1">
      <alignment vertical="center" wrapText="1"/>
    </xf>
    <xf numFmtId="0" fontId="13" fillId="2" borderId="0" xfId="0" quotePrefix="1" applyFont="1" applyFill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43" fontId="13" fillId="0" borderId="0" xfId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2" borderId="0" xfId="0" applyFont="1" applyFill="1"/>
    <xf numFmtId="43" fontId="13" fillId="0" borderId="0" xfId="0" applyNumberFormat="1" applyFont="1"/>
    <xf numFmtId="49" fontId="23" fillId="8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8" fillId="0" borderId="1" xfId="1" applyFont="1" applyBorder="1"/>
    <xf numFmtId="43" fontId="13" fillId="0" borderId="1" xfId="1" applyFont="1" applyBorder="1"/>
    <xf numFmtId="43" fontId="25" fillId="0" borderId="0" xfId="1" applyFont="1"/>
    <xf numFmtId="0" fontId="1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9" fontId="13" fillId="0" borderId="1" xfId="0" applyNumberFormat="1" applyFont="1" applyBorder="1"/>
    <xf numFmtId="164" fontId="13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49" fontId="24" fillId="20" borderId="1" xfId="4" applyNumberFormat="1" applyFont="1" applyFill="1" applyBorder="1" applyAlignment="1">
      <alignment horizontal="center"/>
    </xf>
    <xf numFmtId="49" fontId="24" fillId="21" borderId="1" xfId="4" applyNumberFormat="1" applyFont="1" applyFill="1" applyBorder="1" applyAlignment="1">
      <alignment horizontal="center"/>
    </xf>
    <xf numFmtId="49" fontId="24" fillId="19" borderId="1" xfId="4" applyNumberFormat="1" applyFont="1" applyFill="1" applyBorder="1" applyAlignment="1">
      <alignment horizontal="center"/>
    </xf>
    <xf numFmtId="49" fontId="24" fillId="22" borderId="1" xfId="4" applyNumberFormat="1" applyFont="1" applyFill="1" applyBorder="1" applyAlignment="1">
      <alignment horizontal="center"/>
    </xf>
    <xf numFmtId="0" fontId="8" fillId="16" borderId="0" xfId="0" applyFont="1" applyFill="1"/>
    <xf numFmtId="0" fontId="8" fillId="18" borderId="0" xfId="0" applyFont="1" applyFill="1"/>
    <xf numFmtId="0" fontId="8" fillId="13" borderId="0" xfId="0" applyFont="1" applyFill="1"/>
    <xf numFmtId="0" fontId="7" fillId="13" borderId="0" xfId="0" applyFont="1" applyFill="1"/>
    <xf numFmtId="43" fontId="7" fillId="13" borderId="0" xfId="1" applyFont="1" applyFill="1"/>
    <xf numFmtId="0" fontId="7" fillId="0" borderId="0" xfId="0" applyFont="1" applyAlignment="1">
      <alignment horizontal="right"/>
    </xf>
    <xf numFmtId="43" fontId="7" fillId="2" borderId="0" xfId="1" applyFont="1" applyFill="1"/>
    <xf numFmtId="0" fontId="7" fillId="13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43" fontId="26" fillId="0" borderId="1" xfId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13" fillId="0" borderId="0" xfId="0" applyFont="1" applyAlignment="1">
      <alignment horizontal="center" vertical="top"/>
    </xf>
    <xf numFmtId="0" fontId="27" fillId="0" borderId="39" xfId="5" applyFill="1"/>
    <xf numFmtId="0" fontId="2" fillId="19" borderId="41" xfId="0" applyFont="1" applyFill="1" applyBorder="1" applyAlignment="1">
      <alignment horizontal="center" vertical="center" wrapText="1"/>
    </xf>
    <xf numFmtId="44" fontId="16" fillId="0" borderId="1" xfId="3" applyFont="1" applyFill="1" applyBorder="1" applyAlignment="1">
      <alignment horizontal="center" vertical="center" wrapText="1"/>
    </xf>
    <xf numFmtId="39" fontId="8" fillId="0" borderId="3" xfId="1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vertical="center" wrapText="1"/>
    </xf>
    <xf numFmtId="44" fontId="16" fillId="2" borderId="1" xfId="3" applyFont="1" applyFill="1" applyBorder="1" applyAlignment="1">
      <alignment horizontal="center" vertical="center" wrapText="1"/>
    </xf>
    <xf numFmtId="0" fontId="13" fillId="2" borderId="0" xfId="0" quotePrefix="1" applyFont="1" applyFill="1" applyAlignment="1">
      <alignment horizontal="center" vertical="center" wrapText="1"/>
    </xf>
    <xf numFmtId="43" fontId="14" fillId="0" borderId="38" xfId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4" fontId="13" fillId="0" borderId="0" xfId="0" applyNumberFormat="1" applyFont="1" applyAlignment="1">
      <alignment vertical="center" wrapText="1"/>
    </xf>
    <xf numFmtId="44" fontId="18" fillId="6" borderId="3" xfId="3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44" fontId="18" fillId="6" borderId="27" xfId="3" applyFont="1" applyFill="1" applyBorder="1" applyAlignment="1">
      <alignment horizontal="center" vertical="center" wrapText="1"/>
    </xf>
    <xf numFmtId="44" fontId="17" fillId="13" borderId="36" xfId="3" applyFont="1" applyFill="1" applyBorder="1" applyAlignment="1">
      <alignment vertical="center" wrapText="1"/>
    </xf>
    <xf numFmtId="44" fontId="15" fillId="0" borderId="0" xfId="0" applyNumberFormat="1" applyFont="1" applyAlignment="1">
      <alignment vertical="center"/>
    </xf>
    <xf numFmtId="43" fontId="14" fillId="0" borderId="1" xfId="1" applyFont="1" applyFill="1" applyBorder="1" applyAlignment="1">
      <alignment horizontal="right"/>
    </xf>
    <xf numFmtId="0" fontId="14" fillId="0" borderId="1" xfId="0" applyFont="1" applyBorder="1"/>
    <xf numFmtId="39" fontId="14" fillId="0" borderId="1" xfId="1" applyNumberFormat="1" applyFont="1" applyFill="1" applyBorder="1" applyAlignment="1">
      <alignment horizontal="right"/>
    </xf>
    <xf numFmtId="43" fontId="14" fillId="0" borderId="2" xfId="1" applyFont="1" applyFill="1" applyBorder="1" applyAlignment="1">
      <alignment horizontal="right"/>
    </xf>
    <xf numFmtId="43" fontId="14" fillId="0" borderId="0" xfId="1" applyFont="1" applyFill="1"/>
    <xf numFmtId="0" fontId="14" fillId="0" borderId="0" xfId="0" applyFont="1"/>
    <xf numFmtId="43" fontId="8" fillId="0" borderId="3" xfId="1" applyFont="1" applyFill="1" applyBorder="1" applyAlignment="1" applyProtection="1">
      <alignment horizontal="right"/>
    </xf>
    <xf numFmtId="43" fontId="8" fillId="0" borderId="3" xfId="1" applyFont="1" applyFill="1" applyBorder="1" applyAlignment="1">
      <alignment horizontal="right"/>
    </xf>
    <xf numFmtId="43" fontId="8" fillId="0" borderId="3" xfId="1" applyFont="1" applyFill="1" applyBorder="1" applyAlignment="1">
      <alignment horizontal="right" vertical="center"/>
    </xf>
    <xf numFmtId="0" fontId="18" fillId="6" borderId="40" xfId="0" applyFont="1" applyFill="1" applyBorder="1" applyAlignment="1">
      <alignment horizontal="center" vertical="center" wrapText="1"/>
    </xf>
    <xf numFmtId="43" fontId="13" fillId="2" borderId="1" xfId="1" applyFont="1" applyFill="1" applyBorder="1" applyAlignment="1">
      <alignment vertical="center" wrapText="1"/>
    </xf>
    <xf numFmtId="0" fontId="7" fillId="8" borderId="6" xfId="0" applyFont="1" applyFill="1" applyBorder="1" applyAlignment="1">
      <alignment horizontal="center"/>
    </xf>
    <xf numFmtId="43" fontId="7" fillId="8" borderId="7" xfId="1" applyFont="1" applyFill="1" applyBorder="1"/>
    <xf numFmtId="0" fontId="7" fillId="8" borderId="6" xfId="0" applyFont="1" applyFill="1" applyBorder="1" applyAlignment="1">
      <alignment horizontal="left"/>
    </xf>
    <xf numFmtId="39" fontId="8" fillId="2" borderId="0" xfId="0" applyNumberFormat="1" applyFont="1" applyFill="1"/>
    <xf numFmtId="44" fontId="13" fillId="0" borderId="1" xfId="3" applyFont="1" applyBorder="1" applyAlignment="1">
      <alignment vertical="center"/>
    </xf>
    <xf numFmtId="44" fontId="17" fillId="0" borderId="36" xfId="3" applyFont="1" applyFill="1" applyBorder="1" applyAlignment="1">
      <alignment vertical="center" wrapText="1"/>
    </xf>
    <xf numFmtId="43" fontId="18" fillId="6" borderId="1" xfId="1" applyFont="1" applyFill="1" applyBorder="1" applyAlignment="1">
      <alignment horizontal="center" vertical="center" wrapText="1"/>
    </xf>
    <xf numFmtId="3" fontId="0" fillId="0" borderId="0" xfId="0" applyNumberFormat="1"/>
    <xf numFmtId="43" fontId="15" fillId="0" borderId="0" xfId="1" applyFont="1"/>
    <xf numFmtId="44" fontId="17" fillId="13" borderId="32" xfId="3" applyFont="1" applyFill="1" applyBorder="1" applyAlignment="1">
      <alignment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right" vertical="center" wrapText="1"/>
    </xf>
    <xf numFmtId="14" fontId="13" fillId="0" borderId="1" xfId="3" applyNumberFormat="1" applyFont="1" applyFill="1" applyBorder="1" applyAlignment="1">
      <alignment vertical="center" wrapText="1"/>
    </xf>
    <xf numFmtId="44" fontId="16" fillId="2" borderId="0" xfId="3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44" fontId="13" fillId="0" borderId="0" xfId="3" applyFont="1" applyFill="1" applyBorder="1" applyAlignment="1">
      <alignment horizontal="center" vertical="center" wrapText="1"/>
    </xf>
    <xf numFmtId="44" fontId="17" fillId="0" borderId="0" xfId="3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4" fillId="0" borderId="0" xfId="0" applyNumberFormat="1" applyFont="1"/>
    <xf numFmtId="0" fontId="13" fillId="0" borderId="1" xfId="0" applyFont="1" applyBorder="1" applyAlignment="1">
      <alignment horizontal="center" vertical="center"/>
    </xf>
    <xf numFmtId="44" fontId="13" fillId="2" borderId="1" xfId="3" applyFont="1" applyFill="1" applyBorder="1" applyAlignment="1">
      <alignment horizontal="center" vertical="center" wrapText="1"/>
    </xf>
    <xf numFmtId="43" fontId="7" fillId="9" borderId="42" xfId="1" applyFont="1" applyFill="1" applyBorder="1"/>
    <xf numFmtId="39" fontId="8" fillId="0" borderId="11" xfId="1" applyNumberFormat="1" applyFont="1" applyFill="1" applyBorder="1" applyAlignment="1">
      <alignment horizontal="right"/>
    </xf>
    <xf numFmtId="43" fontId="8" fillId="0" borderId="11" xfId="1" applyFont="1" applyFill="1" applyBorder="1" applyAlignment="1" applyProtection="1">
      <alignment horizontal="right"/>
    </xf>
    <xf numFmtId="43" fontId="8" fillId="0" borderId="11" xfId="1" applyFont="1" applyFill="1" applyBorder="1" applyAlignment="1">
      <alignment horizontal="right"/>
    </xf>
    <xf numFmtId="43" fontId="8" fillId="0" borderId="11" xfId="1" applyFont="1" applyFill="1" applyBorder="1" applyAlignment="1">
      <alignment horizontal="right" vertical="center"/>
    </xf>
    <xf numFmtId="0" fontId="8" fillId="0" borderId="11" xfId="0" applyFont="1" applyBorder="1"/>
    <xf numFmtId="44" fontId="13" fillId="0" borderId="1" xfId="3" applyFont="1" applyBorder="1" applyAlignment="1">
      <alignment horizontal="center" vertical="center" wrapText="1"/>
    </xf>
    <xf numFmtId="44" fontId="16" fillId="0" borderId="1" xfId="3" applyFont="1" applyBorder="1" applyAlignment="1">
      <alignment horizontal="right" vertical="center" wrapText="1"/>
    </xf>
    <xf numFmtId="44" fontId="21" fillId="0" borderId="0" xfId="3" applyFont="1"/>
    <xf numFmtId="0" fontId="8" fillId="0" borderId="1" xfId="0" applyFont="1" applyBorder="1" applyAlignment="1">
      <alignment horizontal="center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8" fillId="0" borderId="35" xfId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4" fontId="16" fillId="0" borderId="0" xfId="0" applyNumberFormat="1" applyFont="1" applyAlignment="1">
      <alignment vertical="center"/>
    </xf>
    <xf numFmtId="166" fontId="16" fillId="0" borderId="1" xfId="0" applyNumberFormat="1" applyFont="1" applyBorder="1" applyAlignment="1">
      <alignment horizontal="right" vertical="center" wrapText="1"/>
    </xf>
    <xf numFmtId="39" fontId="14" fillId="0" borderId="2" xfId="1" applyNumberFormat="1" applyFont="1" applyFill="1" applyBorder="1" applyAlignment="1">
      <alignment horizontal="right"/>
    </xf>
    <xf numFmtId="43" fontId="14" fillId="0" borderId="2" xfId="1" applyFont="1" applyFill="1" applyBorder="1" applyAlignment="1" applyProtection="1">
      <alignment horizontal="right"/>
    </xf>
    <xf numFmtId="0" fontId="13" fillId="0" borderId="2" xfId="0" applyFont="1" applyBorder="1" applyAlignment="1">
      <alignment vertical="center" wrapText="1"/>
    </xf>
    <xf numFmtId="43" fontId="8" fillId="2" borderId="0" xfId="0" applyNumberFormat="1" applyFont="1" applyFill="1"/>
    <xf numFmtId="0" fontId="8" fillId="0" borderId="1" xfId="0" applyFont="1" applyBorder="1" applyAlignment="1">
      <alignment horizontal="left"/>
    </xf>
    <xf numFmtId="0" fontId="8" fillId="0" borderId="1" xfId="1" applyNumberFormat="1" applyFont="1" applyFill="1" applyBorder="1" applyAlignment="1">
      <alignment horizontal="left"/>
    </xf>
    <xf numFmtId="49" fontId="13" fillId="0" borderId="0" xfId="0" applyNumberFormat="1" applyFont="1"/>
    <xf numFmtId="164" fontId="1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43" fontId="8" fillId="0" borderId="2" xfId="1" applyFont="1" applyFill="1" applyBorder="1" applyAlignment="1" applyProtection="1">
      <alignment horizontal="right"/>
    </xf>
    <xf numFmtId="43" fontId="14" fillId="0" borderId="2" xfId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164" fontId="16" fillId="0" borderId="1" xfId="0" applyNumberFormat="1" applyFont="1" applyBorder="1" applyAlignment="1">
      <alignment horizontal="center"/>
    </xf>
    <xf numFmtId="39" fontId="8" fillId="0" borderId="35" xfId="1" applyNumberFormat="1" applyFont="1" applyFill="1" applyBorder="1" applyAlignment="1">
      <alignment horizontal="right"/>
    </xf>
    <xf numFmtId="43" fontId="26" fillId="0" borderId="35" xfId="1" applyFont="1" applyFill="1" applyBorder="1" applyAlignment="1">
      <alignment horizontal="right"/>
    </xf>
    <xf numFmtId="43" fontId="8" fillId="0" borderId="35" xfId="1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3" xfId="0" applyFont="1" applyBorder="1"/>
    <xf numFmtId="0" fontId="8" fillId="0" borderId="26" xfId="0" applyFont="1" applyBorder="1"/>
    <xf numFmtId="0" fontId="13" fillId="0" borderId="26" xfId="0" applyFont="1" applyBorder="1" applyAlignment="1">
      <alignment horizontal="left" vertical="center" wrapText="1"/>
    </xf>
    <xf numFmtId="0" fontId="8" fillId="0" borderId="3" xfId="0" applyFont="1" applyBorder="1"/>
    <xf numFmtId="49" fontId="13" fillId="0" borderId="33" xfId="0" applyNumberFormat="1" applyFont="1" applyBorder="1"/>
    <xf numFmtId="164" fontId="13" fillId="0" borderId="33" xfId="0" applyNumberFormat="1" applyFont="1" applyBorder="1" applyAlignment="1">
      <alignment horizontal="center"/>
    </xf>
    <xf numFmtId="0" fontId="8" fillId="0" borderId="40" xfId="0" applyFont="1" applyBorder="1"/>
    <xf numFmtId="14" fontId="8" fillId="0" borderId="1" xfId="0" applyNumberFormat="1" applyFont="1" applyBorder="1"/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39" fontId="14" fillId="0" borderId="2" xfId="1" applyNumberFormat="1" applyFont="1" applyFill="1" applyBorder="1" applyAlignment="1">
      <alignment horizontal="right" vertical="center"/>
    </xf>
    <xf numFmtId="43" fontId="14" fillId="0" borderId="1" xfId="1" applyFont="1" applyFill="1" applyBorder="1" applyAlignment="1">
      <alignment horizontal="right" vertical="center"/>
    </xf>
    <xf numFmtId="49" fontId="16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16" borderId="1" xfId="0" applyFont="1" applyFill="1" applyBorder="1" applyAlignment="1">
      <alignment horizontal="center"/>
    </xf>
    <xf numFmtId="0" fontId="8" fillId="16" borderId="1" xfId="0" applyFont="1" applyFill="1" applyBorder="1"/>
    <xf numFmtId="0" fontId="8" fillId="16" borderId="3" xfId="0" applyFont="1" applyFill="1" applyBorder="1" applyAlignment="1">
      <alignment horizontal="center"/>
    </xf>
    <xf numFmtId="39" fontId="8" fillId="16" borderId="1" xfId="1" applyNumberFormat="1" applyFont="1" applyFill="1" applyBorder="1" applyAlignment="1">
      <alignment horizontal="right"/>
    </xf>
    <xf numFmtId="43" fontId="8" fillId="16" borderId="1" xfId="1" applyFont="1" applyFill="1" applyBorder="1" applyAlignment="1" applyProtection="1">
      <alignment horizontal="right"/>
    </xf>
    <xf numFmtId="43" fontId="8" fillId="16" borderId="1" xfId="1" applyFont="1" applyFill="1" applyBorder="1" applyAlignment="1">
      <alignment horizontal="right"/>
    </xf>
    <xf numFmtId="43" fontId="8" fillId="16" borderId="1" xfId="1" applyFont="1" applyFill="1" applyBorder="1" applyAlignment="1">
      <alignment horizontal="right" vertical="center"/>
    </xf>
    <xf numFmtId="49" fontId="13" fillId="16" borderId="1" xfId="0" applyNumberFormat="1" applyFont="1" applyFill="1" applyBorder="1"/>
    <xf numFmtId="165" fontId="13" fillId="16" borderId="1" xfId="0" applyNumberFormat="1" applyFont="1" applyFill="1" applyBorder="1" applyAlignment="1">
      <alignment horizontal="center"/>
    </xf>
    <xf numFmtId="0" fontId="13" fillId="16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/>
    <xf numFmtId="0" fontId="8" fillId="13" borderId="3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left" vertical="center" wrapText="1"/>
    </xf>
    <xf numFmtId="39" fontId="8" fillId="13" borderId="1" xfId="1" applyNumberFormat="1" applyFont="1" applyFill="1" applyBorder="1" applyAlignment="1">
      <alignment horizontal="right"/>
    </xf>
    <xf numFmtId="43" fontId="8" fillId="13" borderId="1" xfId="1" applyFont="1" applyFill="1" applyBorder="1" applyAlignment="1" applyProtection="1">
      <alignment horizontal="right"/>
    </xf>
    <xf numFmtId="43" fontId="8" fillId="13" borderId="1" xfId="1" applyFont="1" applyFill="1" applyBorder="1" applyAlignment="1">
      <alignment horizontal="right"/>
    </xf>
    <xf numFmtId="43" fontId="8" fillId="13" borderId="1" xfId="1" applyFont="1" applyFill="1" applyBorder="1" applyAlignment="1">
      <alignment horizontal="right" vertical="center"/>
    </xf>
    <xf numFmtId="49" fontId="13" fillId="13" borderId="1" xfId="0" applyNumberFormat="1" applyFont="1" applyFill="1" applyBorder="1"/>
    <xf numFmtId="165" fontId="13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/>
    </xf>
    <xf numFmtId="43" fontId="8" fillId="13" borderId="3" xfId="1" applyFont="1" applyFill="1" applyBorder="1" applyAlignment="1">
      <alignment horizontal="right"/>
    </xf>
    <xf numFmtId="164" fontId="13" fillId="13" borderId="1" xfId="0" applyNumberFormat="1" applyFont="1" applyFill="1" applyBorder="1" applyAlignment="1">
      <alignment horizontal="center"/>
    </xf>
    <xf numFmtId="44" fontId="13" fillId="0" borderId="0" xfId="0" applyNumberFormat="1" applyFont="1" applyAlignment="1">
      <alignment vertical="center"/>
    </xf>
    <xf numFmtId="0" fontId="14" fillId="13" borderId="1" xfId="0" applyFont="1" applyFill="1" applyBorder="1" applyAlignment="1">
      <alignment horizontal="center"/>
    </xf>
    <xf numFmtId="0" fontId="14" fillId="13" borderId="1" xfId="0" applyFont="1" applyFill="1" applyBorder="1"/>
    <xf numFmtId="0" fontId="14" fillId="13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left" vertical="center"/>
    </xf>
    <xf numFmtId="39" fontId="14" fillId="13" borderId="1" xfId="1" applyNumberFormat="1" applyFont="1" applyFill="1" applyBorder="1" applyAlignment="1">
      <alignment horizontal="right"/>
    </xf>
    <xf numFmtId="43" fontId="14" fillId="13" borderId="1" xfId="1" applyFont="1" applyFill="1" applyBorder="1" applyAlignment="1">
      <alignment horizontal="right"/>
    </xf>
    <xf numFmtId="43" fontId="14" fillId="13" borderId="2" xfId="1" applyFont="1" applyFill="1" applyBorder="1" applyAlignment="1">
      <alignment horizontal="right"/>
    </xf>
    <xf numFmtId="164" fontId="16" fillId="13" borderId="1" xfId="0" applyNumberFormat="1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43" fontId="7" fillId="15" borderId="42" xfId="1" applyFont="1" applyFill="1" applyBorder="1"/>
    <xf numFmtId="43" fontId="8" fillId="13" borderId="3" xfId="1" applyFont="1" applyFill="1" applyBorder="1" applyAlignment="1">
      <alignment horizontal="right" vertical="center"/>
    </xf>
    <xf numFmtId="17" fontId="2" fillId="3" borderId="19" xfId="0" applyNumberFormat="1" applyFont="1" applyFill="1" applyBorder="1" applyAlignment="1">
      <alignment horizontal="center" vertical="center" wrapText="1"/>
    </xf>
    <xf numFmtId="17" fontId="2" fillId="3" borderId="0" xfId="0" applyNumberFormat="1" applyFont="1" applyFill="1" applyAlignment="1">
      <alignment horizontal="center" vertical="center" wrapText="1"/>
    </xf>
    <xf numFmtId="17" fontId="7" fillId="7" borderId="5" xfId="0" applyNumberFormat="1" applyFont="1" applyFill="1" applyBorder="1" applyAlignment="1">
      <alignment horizontal="center"/>
    </xf>
    <xf numFmtId="17" fontId="7" fillId="7" borderId="9" xfId="0" applyNumberFormat="1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17" fontId="7" fillId="7" borderId="5" xfId="0" applyNumberFormat="1" applyFont="1" applyFill="1" applyBorder="1" applyAlignment="1">
      <alignment horizontal="center" vertical="center" wrapText="1"/>
    </xf>
    <xf numFmtId="17" fontId="7" fillId="7" borderId="9" xfId="0" applyNumberFormat="1" applyFont="1" applyFill="1" applyBorder="1" applyAlignment="1">
      <alignment horizontal="center" vertical="center" wrapText="1"/>
    </xf>
    <xf numFmtId="17" fontId="2" fillId="7" borderId="14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7" fontId="12" fillId="5" borderId="1" xfId="0" applyNumberFormat="1" applyFont="1" applyFill="1" applyBorder="1" applyAlignment="1">
      <alignment horizontal="center" vertical="center" wrapText="1"/>
    </xf>
    <xf numFmtId="17" fontId="7" fillId="3" borderId="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14" borderId="5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</cellXfs>
  <cellStyles count="6">
    <cellStyle name="Entrada" xfId="5" builtinId="20"/>
    <cellStyle name="Millares" xfId="1" builtinId="3"/>
    <cellStyle name="Moneda" xfId="3" builtinId="4"/>
    <cellStyle name="Normal" xfId="0" builtinId="0"/>
    <cellStyle name="Normal 2" xfId="4" xr:uid="{00000000-0005-0000-0000-000004000000}"/>
    <cellStyle name="Porcentaje" xfId="2" builtinId="5"/>
  </cellStyles>
  <dxfs count="0"/>
  <tableStyles count="0" defaultTableStyle="TableStyleMedium2" defaultPivotStyle="PivotStyleLight16"/>
  <colors>
    <mruColors>
      <color rgb="FF44ADE2"/>
      <color rgb="FFF3A453"/>
      <color rgb="FF73B160"/>
      <color rgb="FFF26122"/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573984</xdr:colOff>
      <xdr:row>12</xdr:row>
      <xdr:rowOff>333375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604309" y="3438525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2269771</xdr:colOff>
      <xdr:row>477</xdr:row>
      <xdr:rowOff>61232</xdr:rowOff>
    </xdr:from>
    <xdr:to>
      <xdr:col>10</xdr:col>
      <xdr:colOff>1026659</xdr:colOff>
      <xdr:row>480</xdr:row>
      <xdr:rowOff>190708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8521" y="5980339"/>
          <a:ext cx="1878026" cy="741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510418</xdr:colOff>
      <xdr:row>0</xdr:row>
      <xdr:rowOff>137183</xdr:rowOff>
    </xdr:from>
    <xdr:to>
      <xdr:col>11</xdr:col>
      <xdr:colOff>385535</xdr:colOff>
      <xdr:row>4</xdr:row>
      <xdr:rowOff>160378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93" y="137183"/>
          <a:ext cx="1417260" cy="7942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302532</xdr:colOff>
      <xdr:row>1</xdr:row>
      <xdr:rowOff>93435</xdr:rowOff>
    </xdr:from>
    <xdr:to>
      <xdr:col>2</xdr:col>
      <xdr:colOff>932238</xdr:colOff>
      <xdr:row>5</xdr:row>
      <xdr:rowOff>3173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746" y="286203"/>
          <a:ext cx="1729617" cy="675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266119</xdr:colOff>
      <xdr:row>0</xdr:row>
      <xdr:rowOff>142875</xdr:rowOff>
    </xdr:from>
    <xdr:to>
      <xdr:col>3</xdr:col>
      <xdr:colOff>142875</xdr:colOff>
      <xdr:row>4</xdr:row>
      <xdr:rowOff>156599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BD4ADC-8B0C-48E0-A3DF-CD3D2BD85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44" y="142875"/>
          <a:ext cx="2105606" cy="813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782561</xdr:colOff>
      <xdr:row>3</xdr:row>
      <xdr:rowOff>1111</xdr:rowOff>
    </xdr:from>
    <xdr:to>
      <xdr:col>9</xdr:col>
      <xdr:colOff>737053</xdr:colOff>
      <xdr:row>7</xdr:row>
      <xdr:rowOff>24306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63D375-BA42-4F3F-8DC4-D0D4FFD59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811" y="572611"/>
          <a:ext cx="1421342" cy="785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415926</xdr:colOff>
      <xdr:row>3</xdr:row>
      <xdr:rowOff>59418</xdr:rowOff>
    </xdr:from>
    <xdr:to>
      <xdr:col>2</xdr:col>
      <xdr:colOff>1045632</xdr:colOff>
      <xdr:row>6</xdr:row>
      <xdr:rowOff>156935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5A7CC6-190F-4CA3-AA01-447387B3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1" y="630918"/>
          <a:ext cx="1725081" cy="6690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266119</xdr:colOff>
      <xdr:row>0</xdr:row>
      <xdr:rowOff>142875</xdr:rowOff>
    </xdr:from>
    <xdr:to>
      <xdr:col>3</xdr:col>
      <xdr:colOff>142875</xdr:colOff>
      <xdr:row>4</xdr:row>
      <xdr:rowOff>156599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44" y="142875"/>
          <a:ext cx="2105606" cy="8138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782561</xdr:colOff>
      <xdr:row>3</xdr:row>
      <xdr:rowOff>1111</xdr:rowOff>
    </xdr:from>
    <xdr:to>
      <xdr:col>9</xdr:col>
      <xdr:colOff>737053</xdr:colOff>
      <xdr:row>7</xdr:row>
      <xdr:rowOff>24306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811" y="572611"/>
          <a:ext cx="1421342" cy="785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415926</xdr:colOff>
      <xdr:row>3</xdr:row>
      <xdr:rowOff>59418</xdr:rowOff>
    </xdr:from>
    <xdr:to>
      <xdr:col>2</xdr:col>
      <xdr:colOff>1045632</xdr:colOff>
      <xdr:row>6</xdr:row>
      <xdr:rowOff>156935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1" y="630918"/>
          <a:ext cx="1725081" cy="6690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275644</xdr:colOff>
      <xdr:row>126</xdr:row>
      <xdr:rowOff>57150</xdr:rowOff>
    </xdr:from>
    <xdr:to>
      <xdr:col>2</xdr:col>
      <xdr:colOff>1504950</xdr:colOff>
      <xdr:row>130</xdr:row>
      <xdr:rowOff>70874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369" y="2457450"/>
          <a:ext cx="2105606" cy="8138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90864</xdr:colOff>
      <xdr:row>0</xdr:row>
      <xdr:rowOff>0</xdr:rowOff>
    </xdr:from>
    <xdr:to>
      <xdr:col>9</xdr:col>
      <xdr:colOff>45357</xdr:colOff>
      <xdr:row>4</xdr:row>
      <xdr:rowOff>23195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0418" y="0"/>
          <a:ext cx="1417260" cy="7942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70759</xdr:rowOff>
    </xdr:from>
    <xdr:to>
      <xdr:col>2</xdr:col>
      <xdr:colOff>221492</xdr:colOff>
      <xdr:row>3</xdr:row>
      <xdr:rowOff>168275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759"/>
          <a:ext cx="1729617" cy="6758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475669</xdr:colOff>
      <xdr:row>0</xdr:row>
      <xdr:rowOff>28575</xdr:rowOff>
    </xdr:from>
    <xdr:to>
      <xdr:col>3</xdr:col>
      <xdr:colOff>1047750</xdr:colOff>
      <xdr:row>4</xdr:row>
      <xdr:rowOff>42299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7694" y="28575"/>
          <a:ext cx="2105606" cy="8138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1236133</xdr:colOff>
      <xdr:row>2</xdr:row>
      <xdr:rowOff>12451</xdr:rowOff>
    </xdr:from>
    <xdr:to>
      <xdr:col>9</xdr:col>
      <xdr:colOff>1190626</xdr:colOff>
      <xdr:row>6</xdr:row>
      <xdr:rowOff>35646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597" y="397987"/>
          <a:ext cx="1417260" cy="7942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53068</xdr:colOff>
      <xdr:row>2</xdr:row>
      <xdr:rowOff>82096</xdr:rowOff>
    </xdr:from>
    <xdr:to>
      <xdr:col>2</xdr:col>
      <xdr:colOff>682775</xdr:colOff>
      <xdr:row>5</xdr:row>
      <xdr:rowOff>179613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282" y="467632"/>
          <a:ext cx="1729617" cy="6758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609580</xdr:colOff>
      <xdr:row>0</xdr:row>
      <xdr:rowOff>174251</xdr:rowOff>
    </xdr:from>
    <xdr:to>
      <xdr:col>3</xdr:col>
      <xdr:colOff>305361</xdr:colOff>
      <xdr:row>4</xdr:row>
      <xdr:rowOff>187975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227" y="174251"/>
          <a:ext cx="2105046" cy="8205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782561</xdr:colOff>
      <xdr:row>3</xdr:row>
      <xdr:rowOff>1111</xdr:rowOff>
    </xdr:from>
    <xdr:to>
      <xdr:col>9</xdr:col>
      <xdr:colOff>737053</xdr:colOff>
      <xdr:row>7</xdr:row>
      <xdr:rowOff>24306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2204" y="579415"/>
          <a:ext cx="1417260" cy="7942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415926</xdr:colOff>
      <xdr:row>3</xdr:row>
      <xdr:rowOff>59418</xdr:rowOff>
    </xdr:from>
    <xdr:to>
      <xdr:col>2</xdr:col>
      <xdr:colOff>1170364</xdr:colOff>
      <xdr:row>6</xdr:row>
      <xdr:rowOff>156935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140" y="637722"/>
          <a:ext cx="1729617" cy="6758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285169</xdr:colOff>
      <xdr:row>0</xdr:row>
      <xdr:rowOff>47625</xdr:rowOff>
    </xdr:from>
    <xdr:to>
      <xdr:col>3</xdr:col>
      <xdr:colOff>19050</xdr:colOff>
      <xdr:row>4</xdr:row>
      <xdr:rowOff>61349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894" y="47625"/>
          <a:ext cx="2105606" cy="8138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782561</xdr:colOff>
      <xdr:row>3</xdr:row>
      <xdr:rowOff>1111</xdr:rowOff>
    </xdr:from>
    <xdr:to>
      <xdr:col>9</xdr:col>
      <xdr:colOff>737053</xdr:colOff>
      <xdr:row>7</xdr:row>
      <xdr:rowOff>24306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811" y="572611"/>
          <a:ext cx="1421342" cy="785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415926</xdr:colOff>
      <xdr:row>3</xdr:row>
      <xdr:rowOff>59418</xdr:rowOff>
    </xdr:from>
    <xdr:to>
      <xdr:col>2</xdr:col>
      <xdr:colOff>1045632</xdr:colOff>
      <xdr:row>6</xdr:row>
      <xdr:rowOff>156935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1" y="630918"/>
          <a:ext cx="1725081" cy="6690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2023\Agosto\Relacion%20de%20Desc.%20Nom.%2008-2023CA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2023\Enero\N&#243;mina%20Ener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Nomina%20CAID\NOMINA%20PARA%20VALIDAR%20MENSUAL\NOMINAS%20PARA%20MACHEO%20MAYO%202024.xlsx" TargetMode="External"/><Relationship Id="rId1" Type="http://schemas.openxmlformats.org/officeDocument/2006/relationships/externalLinkPath" Target="/Nominas%202024/NOMINAS%20PARA%20MACHEO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D5" t="str">
            <v xml:space="preserve">CEDULAS </v>
          </cell>
          <cell r="E5" t="str">
            <v>MONTOS (RD$)</v>
          </cell>
        </row>
        <row r="6">
          <cell r="D6" t="str">
            <v>012-0080119-7</v>
          </cell>
          <cell r="E6">
            <v>2774.51</v>
          </cell>
        </row>
        <row r="7">
          <cell r="D7" t="str">
            <v>012-0113842-5</v>
          </cell>
          <cell r="E7">
            <v>3000</v>
          </cell>
        </row>
        <row r="8">
          <cell r="D8" t="str">
            <v>012-0095052-3</v>
          </cell>
          <cell r="E8">
            <v>6098.99</v>
          </cell>
        </row>
        <row r="9">
          <cell r="D9" t="str">
            <v>012-0107130-3</v>
          </cell>
          <cell r="E9">
            <v>3211.33</v>
          </cell>
        </row>
        <row r="10">
          <cell r="D10" t="str">
            <v>001-1727265-8</v>
          </cell>
          <cell r="E10">
            <v>1000</v>
          </cell>
        </row>
        <row r="11">
          <cell r="D11" t="str">
            <v>402-2602993-8</v>
          </cell>
          <cell r="E11">
            <v>4393.7299999999996</v>
          </cell>
        </row>
        <row r="12">
          <cell r="D12" t="str">
            <v>056-0086056-2</v>
          </cell>
          <cell r="E12">
            <v>3711.33</v>
          </cell>
        </row>
        <row r="13">
          <cell r="D13" t="str">
            <v>012-0120324-5</v>
          </cell>
          <cell r="E13">
            <v>5151.63</v>
          </cell>
        </row>
        <row r="14">
          <cell r="D14" t="str">
            <v>402-2533785-2</v>
          </cell>
          <cell r="E14">
            <v>17191.05</v>
          </cell>
        </row>
        <row r="15">
          <cell r="D15" t="str">
            <v>001-1127384-3</v>
          </cell>
          <cell r="E15">
            <v>9463.66</v>
          </cell>
        </row>
        <row r="16">
          <cell r="D16" t="str">
            <v>001-1471783-8</v>
          </cell>
          <cell r="E16">
            <v>2000</v>
          </cell>
        </row>
        <row r="17">
          <cell r="D17" t="str">
            <v>402-3205304-7</v>
          </cell>
          <cell r="E17">
            <v>5000</v>
          </cell>
        </row>
        <row r="18">
          <cell r="D18" t="str">
            <v>012-0099944-7</v>
          </cell>
          <cell r="E18">
            <v>7279.12</v>
          </cell>
        </row>
        <row r="19">
          <cell r="D19" t="str">
            <v>001-0762727-5</v>
          </cell>
          <cell r="E19">
            <v>14025.83</v>
          </cell>
        </row>
        <row r="20">
          <cell r="D20" t="str">
            <v>012-0100783-6</v>
          </cell>
          <cell r="E20">
            <v>2805.03</v>
          </cell>
        </row>
        <row r="21">
          <cell r="D21" t="str">
            <v>022-0021497-7</v>
          </cell>
          <cell r="E21">
            <v>3800</v>
          </cell>
        </row>
        <row r="22">
          <cell r="D22" t="str">
            <v>402-2536127-4</v>
          </cell>
          <cell r="E22">
            <v>2000</v>
          </cell>
        </row>
        <row r="23">
          <cell r="D23" t="str">
            <v>001-1920124-2</v>
          </cell>
          <cell r="E23">
            <v>5000</v>
          </cell>
        </row>
        <row r="24">
          <cell r="D24" t="str">
            <v>402-2297599-3</v>
          </cell>
          <cell r="E24">
            <v>2500</v>
          </cell>
        </row>
        <row r="25">
          <cell r="D25" t="str">
            <v>001-0732928-6</v>
          </cell>
          <cell r="E25">
            <v>4610.33</v>
          </cell>
        </row>
        <row r="26">
          <cell r="D26" t="str">
            <v>012-0068592-1</v>
          </cell>
          <cell r="E26">
            <v>1000</v>
          </cell>
        </row>
        <row r="27">
          <cell r="D27" t="str">
            <v>402-2146274-6</v>
          </cell>
          <cell r="E27">
            <v>1500</v>
          </cell>
        </row>
        <row r="28">
          <cell r="D28" t="str">
            <v>012-0109108-7</v>
          </cell>
          <cell r="E28">
            <v>3712.17</v>
          </cell>
        </row>
        <row r="29">
          <cell r="D29" t="str">
            <v>012-0093711-6</v>
          </cell>
          <cell r="E29">
            <v>5000</v>
          </cell>
        </row>
        <row r="30">
          <cell r="D30" t="str">
            <v>012-0018810-8</v>
          </cell>
          <cell r="E30">
            <v>5480.68</v>
          </cell>
        </row>
        <row r="31">
          <cell r="D31" t="str">
            <v>001-0726505-0</v>
          </cell>
          <cell r="E31">
            <v>2434.85</v>
          </cell>
        </row>
        <row r="32">
          <cell r="D32" t="str">
            <v>013-0013648-6</v>
          </cell>
          <cell r="E32">
            <v>5500</v>
          </cell>
        </row>
        <row r="33">
          <cell r="D33" t="str">
            <v>223-0120337-2</v>
          </cell>
          <cell r="E33">
            <v>5310.38</v>
          </cell>
        </row>
        <row r="34">
          <cell r="D34" t="str">
            <v>402-2617702-6</v>
          </cell>
          <cell r="E34">
            <v>2000</v>
          </cell>
        </row>
        <row r="35">
          <cell r="D35" t="str">
            <v>109-0005577-2</v>
          </cell>
          <cell r="E35">
            <v>500</v>
          </cell>
        </row>
        <row r="36">
          <cell r="D36" t="str">
            <v>012-0089805-2</v>
          </cell>
          <cell r="E36">
            <v>8423.35</v>
          </cell>
        </row>
        <row r="37">
          <cell r="D37" t="str">
            <v>001-1725632-1</v>
          </cell>
          <cell r="E37">
            <v>3000</v>
          </cell>
        </row>
        <row r="38">
          <cell r="D38" t="str">
            <v>011-0039325-3</v>
          </cell>
          <cell r="E38">
            <v>7115.55</v>
          </cell>
        </row>
        <row r="39">
          <cell r="D39" t="str">
            <v>402-2286397-5</v>
          </cell>
          <cell r="E39">
            <v>2000</v>
          </cell>
        </row>
        <row r="40">
          <cell r="D40" t="str">
            <v>012-0116743-2</v>
          </cell>
          <cell r="E40">
            <v>1000</v>
          </cell>
        </row>
        <row r="41">
          <cell r="D41" t="str">
            <v>010-0109067-7</v>
          </cell>
          <cell r="E41">
            <v>2000</v>
          </cell>
        </row>
        <row r="42">
          <cell r="D42" t="str">
            <v>229-0011496-2</v>
          </cell>
          <cell r="E42">
            <v>2000</v>
          </cell>
        </row>
        <row r="43">
          <cell r="D43" t="str">
            <v>001-0705856-2</v>
          </cell>
          <cell r="E43">
            <v>2000</v>
          </cell>
        </row>
        <row r="44">
          <cell r="D44" t="str">
            <v>012-0002719-9</v>
          </cell>
          <cell r="E44">
            <v>1000</v>
          </cell>
        </row>
        <row r="45">
          <cell r="D45" t="str">
            <v>012-0119527-6</v>
          </cell>
          <cell r="E45">
            <v>9848.1299999999992</v>
          </cell>
        </row>
        <row r="46">
          <cell r="D46" t="str">
            <v>001-0079941-0</v>
          </cell>
          <cell r="E46">
            <v>7926.24</v>
          </cell>
        </row>
        <row r="47">
          <cell r="D47" t="str">
            <v>012-0110592-9</v>
          </cell>
          <cell r="E47">
            <v>2000</v>
          </cell>
        </row>
        <row r="48">
          <cell r="D48" t="str">
            <v>001-1351473-1</v>
          </cell>
          <cell r="E48">
            <v>2000</v>
          </cell>
        </row>
        <row r="49">
          <cell r="D49" t="str">
            <v>012-0049066-0</v>
          </cell>
          <cell r="E49">
            <v>6551.57</v>
          </cell>
        </row>
        <row r="50">
          <cell r="D50" t="str">
            <v>001-1936595-5</v>
          </cell>
          <cell r="E50">
            <v>2000</v>
          </cell>
        </row>
        <row r="51">
          <cell r="D51" t="str">
            <v>012-0005016-7</v>
          </cell>
          <cell r="E51">
            <v>11848.89</v>
          </cell>
        </row>
        <row r="52">
          <cell r="D52" t="str">
            <v>001-1741745-1</v>
          </cell>
          <cell r="E52">
            <v>1000</v>
          </cell>
        </row>
        <row r="53">
          <cell r="D53" t="str">
            <v>402-3089902-9</v>
          </cell>
          <cell r="E53">
            <v>3000</v>
          </cell>
        </row>
        <row r="54">
          <cell r="D54" t="str">
            <v>001-1847985-6</v>
          </cell>
          <cell r="E54">
            <v>1000</v>
          </cell>
        </row>
        <row r="55">
          <cell r="D55" t="str">
            <v>223-0112996-5</v>
          </cell>
          <cell r="E55">
            <v>2000</v>
          </cell>
        </row>
        <row r="56">
          <cell r="D56" t="str">
            <v>402-2588291-5</v>
          </cell>
          <cell r="E56">
            <v>1400</v>
          </cell>
        </row>
        <row r="57">
          <cell r="D57" t="str">
            <v>402-2274610-5</v>
          </cell>
          <cell r="E57">
            <v>2020.85</v>
          </cell>
        </row>
        <row r="58">
          <cell r="D58" t="str">
            <v>012-0114656-8</v>
          </cell>
          <cell r="E58">
            <v>1000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Diciembre"/>
      <sheetName val="Nómina CAID Fija Enero"/>
      <sheetName val="Novedades Fija"/>
      <sheetName val="Nómina CAID Temporal"/>
      <sheetName val="Novedades Temporal"/>
      <sheetName val="Nómina CAID Seguridad"/>
      <sheetName val="Novedades Seguridad"/>
      <sheetName val="Nómina CAID Eventual"/>
      <sheetName val="Novedades Eventual"/>
      <sheetName val="Nómina CAID Pensionados"/>
    </sheetNames>
    <sheetDataSet>
      <sheetData sheetId="0" refreshError="1">
        <row r="6">
          <cell r="I6">
            <v>0.15</v>
          </cell>
          <cell r="J6">
            <v>0.2</v>
          </cell>
          <cell r="K6">
            <v>0.25</v>
          </cell>
        </row>
        <row r="7">
          <cell r="G7">
            <v>34685</v>
          </cell>
        </row>
        <row r="8">
          <cell r="F8">
            <v>34685.01</v>
          </cell>
          <cell r="G8">
            <v>52027.416666666664</v>
          </cell>
          <cell r="I8">
            <v>2601.3609999999994</v>
          </cell>
          <cell r="J8">
            <v>4046.5646666666671</v>
          </cell>
        </row>
        <row r="9">
          <cell r="F9">
            <v>52027.426666666666</v>
          </cell>
          <cell r="G9">
            <v>72260.25</v>
          </cell>
        </row>
        <row r="10">
          <cell r="F10">
            <v>72260.259999999995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Nómina CAID Fija"/>
      <sheetName val="Novedades Fija"/>
      <sheetName val="Nómina Suplencia"/>
      <sheetName val="Novedades Suplencia"/>
      <sheetName val="Nómina CAID Temporal"/>
      <sheetName val="Novedades Temporal"/>
      <sheetName val="Nómina CAID Seguridad"/>
      <sheetName val="Novedades Seguridad"/>
      <sheetName val="Nómina CAID Eventual"/>
      <sheetName val="Novedades Eventual"/>
      <sheetName val="Nómina CAID Pensionados"/>
      <sheetName val="Novedades Pensionados"/>
    </sheetNames>
    <sheetDataSet>
      <sheetData sheetId="0">
        <row r="6">
          <cell r="I6">
            <v>0.15</v>
          </cell>
          <cell r="J6">
            <v>0.2</v>
          </cell>
          <cell r="K6">
            <v>0.25</v>
          </cell>
        </row>
        <row r="7">
          <cell r="G7">
            <v>34685</v>
          </cell>
        </row>
        <row r="8">
          <cell r="F8">
            <v>34685.01</v>
          </cell>
          <cell r="G8">
            <v>52027.416666666664</v>
          </cell>
          <cell r="I8">
            <v>2601.3609999999994</v>
          </cell>
          <cell r="J8">
            <v>4046.5646666666671</v>
          </cell>
        </row>
        <row r="9">
          <cell r="F9">
            <v>52027.426666666666</v>
          </cell>
          <cell r="G9">
            <v>72260.25</v>
          </cell>
        </row>
        <row r="10">
          <cell r="F10">
            <v>72260.259999999995</v>
          </cell>
        </row>
        <row r="14">
          <cell r="C14">
            <v>2.87E-2</v>
          </cell>
          <cell r="D14">
            <v>325250</v>
          </cell>
        </row>
        <row r="15">
          <cell r="C15">
            <v>3.04E-2</v>
          </cell>
          <cell r="D15">
            <v>187020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9"/>
  <sheetViews>
    <sheetView showGridLines="0" workbookViewId="0">
      <selection activeCell="H8" sqref="H8"/>
    </sheetView>
  </sheetViews>
  <sheetFormatPr baseColWidth="10" defaultColWidth="10.85546875" defaultRowHeight="15" x14ac:dyDescent="0.25"/>
  <cols>
    <col min="1" max="1" width="6.42578125" customWidth="1"/>
    <col min="3" max="3" width="12.5703125" customWidth="1"/>
    <col min="4" max="4" width="15.85546875" customWidth="1"/>
    <col min="9" max="9" width="16.85546875" bestFit="1" customWidth="1"/>
    <col min="10" max="10" width="18.140625" bestFit="1" customWidth="1"/>
    <col min="11" max="11" width="18.7109375" customWidth="1"/>
    <col min="12" max="12" width="24" customWidth="1"/>
    <col min="13" max="13" width="21.85546875" customWidth="1"/>
    <col min="17" max="17" width="39.85546875" customWidth="1"/>
    <col min="18" max="18" width="50.85546875" customWidth="1"/>
  </cols>
  <sheetData>
    <row r="2" spans="2:18" ht="15.75" thickBot="1" x14ac:dyDescent="0.3"/>
    <row r="3" spans="2:18" ht="16.5" thickBot="1" x14ac:dyDescent="0.3">
      <c r="B3" s="4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79" t="s">
        <v>35</v>
      </c>
      <c r="R3" s="380"/>
    </row>
    <row r="4" spans="2:18" ht="15.75" x14ac:dyDescent="0.25">
      <c r="B4" s="377" t="s">
        <v>10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14"/>
      <c r="O4" s="15"/>
      <c r="P4" s="15"/>
      <c r="Q4" s="9" t="s">
        <v>11</v>
      </c>
      <c r="R4" s="9" t="s">
        <v>20</v>
      </c>
    </row>
    <row r="5" spans="2:18" ht="27.75" customHeight="1" thickBot="1" x14ac:dyDescent="0.3">
      <c r="B5" s="7"/>
      <c r="C5" s="8"/>
      <c r="D5" s="8"/>
      <c r="E5" s="8"/>
      <c r="F5" s="389" t="s">
        <v>27</v>
      </c>
      <c r="G5" s="390"/>
      <c r="H5" s="16"/>
      <c r="I5" s="386" t="s">
        <v>30</v>
      </c>
      <c r="J5" s="386"/>
      <c r="K5" s="386"/>
      <c r="L5" s="395"/>
      <c r="M5" s="395"/>
      <c r="N5" s="15"/>
      <c r="O5" s="14"/>
      <c r="P5" s="14"/>
      <c r="Q5" s="10" t="s">
        <v>12</v>
      </c>
      <c r="R5" s="10" t="s">
        <v>13</v>
      </c>
    </row>
    <row r="6" spans="2:18" ht="33.75" customHeight="1" x14ac:dyDescent="0.25">
      <c r="B6" s="31" t="s">
        <v>23</v>
      </c>
      <c r="C6" s="31" t="s">
        <v>24</v>
      </c>
      <c r="D6" s="32" t="s">
        <v>25</v>
      </c>
      <c r="E6" s="387" t="s">
        <v>42</v>
      </c>
      <c r="F6" s="33" t="s">
        <v>26</v>
      </c>
      <c r="G6" s="34" t="s">
        <v>28</v>
      </c>
      <c r="H6" s="35" t="s">
        <v>31</v>
      </c>
      <c r="I6" s="36">
        <v>0.15</v>
      </c>
      <c r="J6" s="36">
        <v>0.2</v>
      </c>
      <c r="K6" s="36">
        <v>0.25</v>
      </c>
      <c r="L6" s="394" t="s">
        <v>22</v>
      </c>
      <c r="M6" s="394"/>
      <c r="N6" s="11"/>
      <c r="O6" s="14"/>
      <c r="P6" s="14"/>
      <c r="Q6" s="10" t="s">
        <v>14</v>
      </c>
      <c r="R6" s="10" t="s">
        <v>15</v>
      </c>
    </row>
    <row r="7" spans="2:18" ht="30" customHeight="1" x14ac:dyDescent="0.25">
      <c r="B7" s="1">
        <v>416220</v>
      </c>
      <c r="C7" s="2">
        <v>12</v>
      </c>
      <c r="D7" s="1">
        <f>+B7/C7</f>
        <v>34685</v>
      </c>
      <c r="E7" s="388"/>
      <c r="F7" s="3">
        <v>0</v>
      </c>
      <c r="G7" s="3">
        <f>+D7</f>
        <v>34685</v>
      </c>
      <c r="H7" s="37" t="s">
        <v>21</v>
      </c>
      <c r="I7" s="38"/>
      <c r="J7" s="39"/>
      <c r="K7" s="39"/>
      <c r="L7" s="391" t="str">
        <f>+H7</f>
        <v>Exento</v>
      </c>
      <c r="M7" s="391"/>
      <c r="N7" s="15"/>
      <c r="O7" s="14"/>
      <c r="P7" s="14"/>
      <c r="Q7" s="10" t="s">
        <v>16</v>
      </c>
      <c r="R7" s="10" t="s">
        <v>17</v>
      </c>
    </row>
    <row r="8" spans="2:18" ht="23.25" customHeight="1" thickBot="1" x14ac:dyDescent="0.3">
      <c r="B8" s="1">
        <v>624329</v>
      </c>
      <c r="C8" s="2">
        <v>12</v>
      </c>
      <c r="D8" s="1">
        <f>+B8/C8</f>
        <v>52027.416666666664</v>
      </c>
      <c r="E8" s="388"/>
      <c r="F8" s="4">
        <f>+G7+0.01</f>
        <v>34685.01</v>
      </c>
      <c r="G8" s="5">
        <f>+D8</f>
        <v>52027.416666666664</v>
      </c>
      <c r="H8" s="40">
        <f>+G8-F8</f>
        <v>17342.406666666662</v>
      </c>
      <c r="I8" s="13">
        <f>+H8*I6</f>
        <v>2601.3609999999994</v>
      </c>
      <c r="J8" s="13">
        <f>+H9*J6</f>
        <v>4046.5646666666671</v>
      </c>
      <c r="K8" s="41">
        <f>+H10*K6</f>
        <v>0</v>
      </c>
      <c r="L8" s="392" t="s">
        <v>32</v>
      </c>
      <c r="M8" s="392"/>
      <c r="N8" s="17"/>
      <c r="O8" s="14"/>
      <c r="P8" s="14"/>
      <c r="Q8" s="10" t="s">
        <v>18</v>
      </c>
      <c r="R8" s="10" t="s">
        <v>19</v>
      </c>
    </row>
    <row r="9" spans="2:18" ht="17.25" customHeight="1" thickBot="1" x14ac:dyDescent="0.3">
      <c r="B9" s="1">
        <v>624329.01</v>
      </c>
      <c r="C9" s="2">
        <v>12</v>
      </c>
      <c r="D9" s="1">
        <f>+B9/C9</f>
        <v>52027.417500000003</v>
      </c>
      <c r="E9" s="388"/>
      <c r="F9" s="4">
        <f>G8+0.01</f>
        <v>52027.426666666666</v>
      </c>
      <c r="G9" s="5">
        <f>+D10</f>
        <v>72260.25</v>
      </c>
      <c r="H9" s="40">
        <f>+G9-F9</f>
        <v>20232.823333333334</v>
      </c>
      <c r="I9" s="38"/>
      <c r="J9" s="39"/>
      <c r="K9" s="39"/>
      <c r="L9" s="392" t="s">
        <v>34</v>
      </c>
      <c r="M9" s="392"/>
      <c r="N9" s="15"/>
      <c r="O9" s="14"/>
      <c r="P9" s="14"/>
      <c r="Q9" s="384" t="s">
        <v>39</v>
      </c>
      <c r="R9" s="385"/>
    </row>
    <row r="10" spans="2:18" ht="17.25" customHeight="1" x14ac:dyDescent="0.25">
      <c r="B10" s="1">
        <v>867123</v>
      </c>
      <c r="C10" s="2">
        <v>12</v>
      </c>
      <c r="D10" s="1">
        <f>+B10/C10</f>
        <v>72260.25</v>
      </c>
      <c r="E10" s="388"/>
      <c r="F10" s="4">
        <f>+G9+0.01</f>
        <v>72260.259999999995</v>
      </c>
      <c r="G10" s="6" t="s">
        <v>29</v>
      </c>
      <c r="H10" s="40"/>
      <c r="I10" s="38"/>
      <c r="J10" s="39"/>
      <c r="K10" s="39"/>
      <c r="L10" s="392" t="s">
        <v>33</v>
      </c>
      <c r="M10" s="392"/>
      <c r="N10" s="15"/>
      <c r="O10" s="15"/>
      <c r="P10" s="14"/>
      <c r="Q10" s="14"/>
      <c r="R10" s="14"/>
    </row>
    <row r="11" spans="2:18" ht="16.5" thickBot="1" x14ac:dyDescent="0.3">
      <c r="B11" s="43"/>
      <c r="C11" s="15"/>
      <c r="D11" s="15"/>
      <c r="E11" s="15"/>
      <c r="F11" s="15"/>
      <c r="G11" s="18"/>
      <c r="H11" s="12"/>
      <c r="I11" s="12"/>
      <c r="J11" s="15"/>
      <c r="K11" s="15"/>
      <c r="L11" s="393">
        <f>+I8+J8</f>
        <v>6647.9256666666661</v>
      </c>
      <c r="M11" s="393"/>
      <c r="N11" s="15"/>
      <c r="O11" s="15"/>
      <c r="P11" s="15"/>
      <c r="Q11" s="15"/>
      <c r="R11" s="15"/>
    </row>
    <row r="12" spans="2:18" ht="15.75" x14ac:dyDescent="0.25">
      <c r="B12" s="381" t="s">
        <v>38</v>
      </c>
      <c r="C12" s="382"/>
      <c r="D12" s="38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2:18" ht="30" customHeight="1" thickBot="1" x14ac:dyDescent="0.3">
      <c r="B13" s="19"/>
      <c r="C13" s="20" t="s">
        <v>30</v>
      </c>
      <c r="D13" s="21" t="s">
        <v>40</v>
      </c>
      <c r="E13" s="15"/>
      <c r="F13" s="15"/>
      <c r="G13" s="15"/>
      <c r="H13" s="15"/>
      <c r="J13" s="17">
        <v>82492.800000000003</v>
      </c>
      <c r="K13" s="15"/>
      <c r="L13" s="15"/>
      <c r="M13" s="15"/>
      <c r="N13" s="15"/>
      <c r="O13" s="15"/>
      <c r="P13" s="15"/>
      <c r="Q13" s="15"/>
      <c r="R13" s="15"/>
    </row>
    <row r="14" spans="2:18" ht="15.75" x14ac:dyDescent="0.25">
      <c r="B14" s="44" t="s">
        <v>3</v>
      </c>
      <c r="C14" s="22">
        <v>2.87E-2</v>
      </c>
      <c r="D14" s="23">
        <v>325250</v>
      </c>
      <c r="E14" s="15"/>
      <c r="F14" s="15"/>
      <c r="G14" s="107" t="s">
        <v>1040</v>
      </c>
      <c r="H14" s="15" t="s">
        <v>3</v>
      </c>
      <c r="I14" s="79">
        <v>7.0999999999999994E-2</v>
      </c>
      <c r="J14" s="17">
        <f>+J13*I14</f>
        <v>5856.9888000000001</v>
      </c>
      <c r="K14" s="17"/>
      <c r="L14" s="15"/>
      <c r="M14" s="15"/>
      <c r="N14" s="15"/>
      <c r="O14" s="15"/>
      <c r="P14" s="15"/>
      <c r="Q14" s="15"/>
      <c r="R14" s="15"/>
    </row>
    <row r="15" spans="2:18" ht="16.5" thickBot="1" x14ac:dyDescent="0.3">
      <c r="B15" s="45" t="s">
        <v>2</v>
      </c>
      <c r="C15" s="24">
        <v>3.04E-2</v>
      </c>
      <c r="D15" s="25">
        <v>187020</v>
      </c>
      <c r="E15" s="15"/>
      <c r="F15" s="15"/>
      <c r="G15" s="15" t="s">
        <v>1039</v>
      </c>
      <c r="H15" s="15" t="s">
        <v>2</v>
      </c>
      <c r="I15" s="79">
        <v>7.0900000000000005E-2</v>
      </c>
      <c r="J15" s="17">
        <f>+J13*I15</f>
        <v>5848.739520000001</v>
      </c>
      <c r="K15" s="17"/>
      <c r="L15" s="15"/>
      <c r="M15" s="15"/>
      <c r="N15" s="15"/>
      <c r="O15" s="15"/>
      <c r="P15" s="15"/>
      <c r="Q15" s="15"/>
      <c r="R15" s="15"/>
    </row>
    <row r="16" spans="2:18" ht="48" thickBot="1" x14ac:dyDescent="0.3">
      <c r="B16" s="26" t="s">
        <v>37</v>
      </c>
      <c r="C16" s="27">
        <f>(C14+C15)</f>
        <v>5.91E-2</v>
      </c>
      <c r="D16" s="28"/>
      <c r="E16" s="15"/>
      <c r="F16" s="15"/>
      <c r="G16" s="46" t="s">
        <v>1041</v>
      </c>
      <c r="H16" s="15" t="s">
        <v>887</v>
      </c>
      <c r="I16" s="79">
        <v>1.2E-2</v>
      </c>
      <c r="J16" s="17">
        <f>+I16*J13</f>
        <v>989.91360000000009</v>
      </c>
      <c r="K16" s="17"/>
      <c r="L16" s="15"/>
      <c r="M16" s="15"/>
      <c r="N16" s="15"/>
      <c r="O16" s="15"/>
      <c r="P16" s="15"/>
      <c r="Q16" s="15"/>
      <c r="R16" s="15"/>
    </row>
    <row r="17" spans="8:11" ht="16.5" thickBot="1" x14ac:dyDescent="0.3">
      <c r="H17" s="80" t="s">
        <v>888</v>
      </c>
      <c r="I17" s="81">
        <f>SUM(I14:I16)</f>
        <v>0.15390000000000001</v>
      </c>
      <c r="J17" s="95">
        <f>SUM(J14:J16)</f>
        <v>12695.641920000002</v>
      </c>
      <c r="K17" s="95"/>
    </row>
    <row r="18" spans="8:11" ht="15.75" thickTop="1" x14ac:dyDescent="0.25">
      <c r="J18" s="84">
        <f>+J17+J13-J16</f>
        <v>94198.528320000012</v>
      </c>
    </row>
    <row r="20" spans="8:11" ht="15.75" x14ac:dyDescent="0.25">
      <c r="H20" s="15"/>
      <c r="I20" s="83"/>
      <c r="K20" s="83"/>
    </row>
    <row r="21" spans="8:11" ht="15.75" x14ac:dyDescent="0.25">
      <c r="H21" s="15"/>
      <c r="I21" s="83"/>
      <c r="K21" s="83"/>
    </row>
    <row r="22" spans="8:11" ht="15.75" x14ac:dyDescent="0.25">
      <c r="H22" s="15"/>
      <c r="I22" s="83"/>
      <c r="K22" s="83"/>
    </row>
    <row r="23" spans="8:11" x14ac:dyDescent="0.25">
      <c r="I23" s="83"/>
      <c r="K23" s="83"/>
    </row>
    <row r="24" spans="8:11" x14ac:dyDescent="0.25">
      <c r="I24" s="83"/>
      <c r="K24" s="83"/>
    </row>
    <row r="25" spans="8:11" x14ac:dyDescent="0.25">
      <c r="I25" s="83"/>
      <c r="K25" s="83"/>
    </row>
    <row r="26" spans="8:11" x14ac:dyDescent="0.25">
      <c r="I26" s="83"/>
      <c r="K26" s="83"/>
    </row>
    <row r="27" spans="8:11" x14ac:dyDescent="0.25">
      <c r="I27" s="83"/>
    </row>
    <row r="28" spans="8:11" x14ac:dyDescent="0.25">
      <c r="I28" s="83"/>
    </row>
    <row r="29" spans="8:11" x14ac:dyDescent="0.25">
      <c r="K29" s="84"/>
    </row>
  </sheetData>
  <mergeCells count="14">
    <mergeCell ref="B4:M4"/>
    <mergeCell ref="Q3:R3"/>
    <mergeCell ref="B12:D12"/>
    <mergeCell ref="Q9:R9"/>
    <mergeCell ref="I5:K5"/>
    <mergeCell ref="E6:E10"/>
    <mergeCell ref="F5:G5"/>
    <mergeCell ref="L7:M7"/>
    <mergeCell ref="L8:M8"/>
    <mergeCell ref="L9:M9"/>
    <mergeCell ref="L10:M10"/>
    <mergeCell ref="L11:M11"/>
    <mergeCell ref="L6:M6"/>
    <mergeCell ref="L5:M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72"/>
  <sheetViews>
    <sheetView showGridLines="0" tabSelected="1" zoomScale="94" zoomScaleNormal="94" workbookViewId="0">
      <pane xSplit="4" ySplit="9" topLeftCell="Q72" activePane="bottomRight" state="frozen"/>
      <selection pane="topRight" activeCell="E1" sqref="E1"/>
      <selection pane="bottomLeft" activeCell="A9" sqref="A9"/>
      <selection pane="bottomRight" activeCell="Y93" sqref="Y93"/>
    </sheetView>
  </sheetViews>
  <sheetFormatPr baseColWidth="10" defaultColWidth="11.42578125" defaultRowHeight="15.75" x14ac:dyDescent="0.25"/>
  <cols>
    <col min="1" max="1" width="1.28515625" style="14" customWidth="1"/>
    <col min="2" max="2" width="10.5703125" style="43" customWidth="1"/>
    <col min="3" max="3" width="29.42578125" style="43" customWidth="1"/>
    <col min="4" max="4" width="40" style="14" customWidth="1"/>
    <col min="5" max="5" width="16.7109375" style="14" customWidth="1"/>
    <col min="6" max="6" width="10.85546875" style="14" customWidth="1"/>
    <col min="7" max="7" width="11.5703125" style="14" customWidth="1"/>
    <col min="8" max="8" width="38.85546875" style="14" customWidth="1"/>
    <col min="9" max="9" width="33.42578125" style="14" customWidth="1"/>
    <col min="10" max="10" width="46.85546875" style="14" customWidth="1"/>
    <col min="11" max="11" width="19.5703125" style="14" customWidth="1"/>
    <col min="12" max="12" width="16.28515625" style="14" customWidth="1"/>
    <col min="13" max="13" width="17" style="14" customWidth="1"/>
    <col min="14" max="14" width="24.28515625" style="14" customWidth="1"/>
    <col min="15" max="15" width="22.42578125" style="14" customWidth="1"/>
    <col min="16" max="16" width="19.28515625" style="14" customWidth="1"/>
    <col min="17" max="21" width="22.140625" style="50" customWidth="1"/>
    <col min="22" max="23" width="17.7109375" style="14" customWidth="1"/>
    <col min="24" max="24" width="23.85546875" style="14" customWidth="1"/>
    <col min="25" max="25" width="20.140625" style="14" customWidth="1"/>
    <col min="26" max="26" width="22.85546875" style="14" customWidth="1"/>
    <col min="27" max="27" width="26" style="58" customWidth="1"/>
    <col min="28" max="28" width="21.85546875" style="14" customWidth="1"/>
    <col min="29" max="29" width="13.140625" style="14" bestFit="1" customWidth="1"/>
    <col min="30" max="30" width="11.42578125" style="14"/>
    <col min="31" max="31" width="23.140625" style="14" bestFit="1" customWidth="1"/>
    <col min="32" max="33" width="11.42578125" style="14"/>
    <col min="34" max="34" width="12.7109375" style="14" bestFit="1" customWidth="1"/>
    <col min="35" max="35" width="12.28515625" style="14" bestFit="1" customWidth="1"/>
    <col min="36" max="16384" width="11.42578125" style="14"/>
  </cols>
  <sheetData>
    <row r="1" spans="1:29" x14ac:dyDescent="0.25">
      <c r="B1" s="102"/>
      <c r="C1" s="102"/>
      <c r="D1" s="50"/>
      <c r="E1" s="50"/>
      <c r="F1" s="50"/>
      <c r="G1" s="50"/>
      <c r="H1" s="50"/>
      <c r="I1" s="50"/>
      <c r="J1" s="50"/>
      <c r="K1" s="50"/>
      <c r="L1" s="50"/>
      <c r="M1" s="50"/>
      <c r="N1" s="245"/>
      <c r="O1" s="50"/>
      <c r="P1" s="50"/>
      <c r="V1"/>
      <c r="W1"/>
      <c r="X1" s="50"/>
      <c r="Y1" s="50"/>
    </row>
    <row r="2" spans="1:29" x14ac:dyDescent="0.25">
      <c r="B2" s="102"/>
      <c r="C2" s="10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V2"/>
      <c r="W2"/>
      <c r="X2" s="50"/>
      <c r="Y2" s="50"/>
    </row>
    <row r="3" spans="1:29" x14ac:dyDescent="0.25">
      <c r="B3" s="396" t="s">
        <v>44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49"/>
      <c r="AA3" s="56"/>
      <c r="AB3" s="49"/>
    </row>
    <row r="4" spans="1:29" x14ac:dyDescent="0.25">
      <c r="B4" s="396" t="s">
        <v>1950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49"/>
      <c r="AA4" s="56"/>
      <c r="AB4" s="49"/>
      <c r="AC4" s="49"/>
    </row>
    <row r="5" spans="1:29" ht="9" customHeight="1" thickBot="1" x14ac:dyDescent="0.3">
      <c r="B5" s="102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  <c r="W5" s="104"/>
      <c r="X5" s="103"/>
      <c r="Y5" s="103"/>
      <c r="Z5" s="15"/>
      <c r="AA5" s="57"/>
      <c r="AB5" s="15"/>
      <c r="AC5" s="15"/>
    </row>
    <row r="6" spans="1:29" s="30" customFormat="1" ht="63.75" thickBot="1" x14ac:dyDescent="0.3">
      <c r="B6" s="71" t="s">
        <v>9</v>
      </c>
      <c r="C6" s="72" t="s">
        <v>45</v>
      </c>
      <c r="D6" s="73" t="s">
        <v>0</v>
      </c>
      <c r="E6" s="74" t="s">
        <v>46</v>
      </c>
      <c r="F6" s="72" t="s">
        <v>47</v>
      </c>
      <c r="G6" s="74" t="s">
        <v>1194</v>
      </c>
      <c r="H6" s="74" t="s">
        <v>1204</v>
      </c>
      <c r="I6" s="74" t="s">
        <v>1063</v>
      </c>
      <c r="J6" s="74" t="s">
        <v>866</v>
      </c>
      <c r="K6" s="75" t="s">
        <v>8</v>
      </c>
      <c r="L6" s="75" t="s">
        <v>868</v>
      </c>
      <c r="M6" s="75" t="s">
        <v>867</v>
      </c>
      <c r="N6" s="75" t="s">
        <v>1059</v>
      </c>
      <c r="O6" s="75" t="s">
        <v>36</v>
      </c>
      <c r="P6" s="75" t="s">
        <v>1</v>
      </c>
      <c r="Q6" s="75" t="s">
        <v>1038</v>
      </c>
      <c r="R6" s="75" t="s">
        <v>1283</v>
      </c>
      <c r="S6" s="75" t="s">
        <v>1285</v>
      </c>
      <c r="T6" s="75" t="s">
        <v>1287</v>
      </c>
      <c r="U6" s="75" t="s">
        <v>1289</v>
      </c>
      <c r="V6" s="75" t="s">
        <v>6</v>
      </c>
      <c r="W6" s="75" t="s">
        <v>43</v>
      </c>
      <c r="X6" s="75" t="s">
        <v>4</v>
      </c>
      <c r="Y6" s="76" t="s">
        <v>5</v>
      </c>
      <c r="Z6" s="76" t="s">
        <v>826</v>
      </c>
      <c r="AA6" s="77" t="s">
        <v>825</v>
      </c>
    </row>
    <row r="7" spans="1:29" s="236" customFormat="1" x14ac:dyDescent="0.25">
      <c r="A7" s="232"/>
      <c r="B7" s="302">
        <v>1</v>
      </c>
      <c r="C7" s="302" t="s">
        <v>1629</v>
      </c>
      <c r="D7" s="305" t="s">
        <v>1630</v>
      </c>
      <c r="E7" s="305" t="s">
        <v>86</v>
      </c>
      <c r="F7" s="305" t="s">
        <v>87</v>
      </c>
      <c r="G7" s="302">
        <v>1</v>
      </c>
      <c r="H7" s="306" t="s">
        <v>1636</v>
      </c>
      <c r="I7" s="307" t="s">
        <v>1067</v>
      </c>
      <c r="J7" s="305" t="s">
        <v>1631</v>
      </c>
      <c r="K7" s="283">
        <v>33000</v>
      </c>
      <c r="L7" s="284">
        <f>IF(K7&gt;=Datos!$D$14,(Datos!$D$14*Datos!$C$14),IF(K7&lt;=Datos!$D$14,(K7*Datos!$C$14)))</f>
        <v>947.1</v>
      </c>
      <c r="M7" s="284">
        <f>IF(K7&gt;=Datos!$D$15,(Datos!$D$15*Datos!$C$15),IF(K7&lt;=Datos!$D$15,(K7*Datos!$C$15)))</f>
        <v>1003.2</v>
      </c>
      <c r="N7" s="234"/>
      <c r="O7" s="231">
        <f>K7-(L7+M7+N7)</f>
        <v>31049.7</v>
      </c>
      <c r="P7" s="223">
        <f>IF(O7&lt;=Datos!$G$7,"0",IF(O7&lt;=Datos!$G$8,(O7-Datos!$F$8)*Datos!$I$6,IF(O7&lt;=Datos!$G$9,Datos!$I$8+(O7-Datos!$F$9)*Datos!$J$6,IF(O7&gt;=Datos!$F$10,(Datos!$I$8+Datos!$J$8)+(O7-Datos!$F$10)*Datos!$K$6))))-W7</f>
        <v>0</v>
      </c>
      <c r="Q7" s="234">
        <f>IFERROR(VLOOKUP(C7,[1]Hoja1!$D$5:$E$58,2,FALSE),0)</f>
        <v>0</v>
      </c>
      <c r="R7" s="234"/>
      <c r="S7" s="234"/>
      <c r="T7" s="234"/>
      <c r="U7" s="234"/>
      <c r="V7" s="234">
        <v>25</v>
      </c>
      <c r="W7" s="234"/>
      <c r="X7" s="234">
        <f>SUM(P7:V7)+(L7+M7+N7)-W7</f>
        <v>1975.3000000000002</v>
      </c>
      <c r="Y7" s="234">
        <f t="shared" ref="Y7:Y74" si="0">+K7-X7</f>
        <v>31024.7</v>
      </c>
      <c r="Z7" s="296">
        <v>9607405787</v>
      </c>
      <c r="AA7" s="308">
        <v>45536</v>
      </c>
      <c r="AB7" s="235"/>
      <c r="AC7" s="264"/>
    </row>
    <row r="8" spans="1:29" s="236" customFormat="1" x14ac:dyDescent="0.25">
      <c r="A8" s="232"/>
      <c r="B8" s="302">
        <v>2</v>
      </c>
      <c r="C8" s="302" t="s">
        <v>906</v>
      </c>
      <c r="D8" s="305" t="s">
        <v>905</v>
      </c>
      <c r="E8" s="305" t="s">
        <v>85</v>
      </c>
      <c r="F8" s="305" t="s">
        <v>87</v>
      </c>
      <c r="G8" s="302">
        <v>1</v>
      </c>
      <c r="H8" s="306" t="s">
        <v>1187</v>
      </c>
      <c r="I8" s="307" t="s">
        <v>1187</v>
      </c>
      <c r="J8" s="305" t="s">
        <v>907</v>
      </c>
      <c r="K8" s="283">
        <f>35000+15000</f>
        <v>50000</v>
      </c>
      <c r="L8" s="284">
        <f>IF(K8&gt;=Datos!$D$14,(Datos!$D$14*Datos!$C$14),IF(K8&lt;=Datos!$D$14,(K8*Datos!$C$14)))</f>
        <v>1435</v>
      </c>
      <c r="M8" s="284">
        <f>IF(K8&gt;=Datos!$D$15,(Datos!$D$15*Datos!$C$15),IF(K8&lt;=Datos!$D$15,(K8*Datos!$C$15)))</f>
        <v>1520</v>
      </c>
      <c r="N8" s="234"/>
      <c r="O8" s="231">
        <f>K8-(L8+M8+N8)</f>
        <v>47045</v>
      </c>
      <c r="P8" s="223">
        <f>IF(O8&lt;=Datos!$G$7,"0",IF(O8&lt;=Datos!$G$8,(O8-Datos!$F$8)*Datos!$I$6,IF(O8&lt;=Datos!$G$9,Datos!$I$8+(O8-Datos!$F$9)*Datos!$J$6,IF(O8&gt;=Datos!$F$10,(Datos!$I$8+Datos!$J$8)+(O8-Datos!$F$10)*Datos!$K$6))))-W8</f>
        <v>1853.9984999999997</v>
      </c>
      <c r="Q8" s="234">
        <f>IFERROR(VLOOKUP(C8,[1]Hoja1!$D$5:$E$58,2,FALSE),0)</f>
        <v>0</v>
      </c>
      <c r="R8" s="234"/>
      <c r="S8" s="234"/>
      <c r="T8" s="234"/>
      <c r="U8" s="234"/>
      <c r="V8" s="234">
        <v>25</v>
      </c>
      <c r="W8" s="234"/>
      <c r="X8" s="234">
        <f>SUM(P8:V8)+(L8+M8+N8)-W8</f>
        <v>4833.9984999999997</v>
      </c>
      <c r="Y8" s="234">
        <f t="shared" si="0"/>
        <v>45166.001499999998</v>
      </c>
      <c r="Z8" s="296"/>
      <c r="AA8" s="308">
        <v>44621</v>
      </c>
      <c r="AB8" s="235"/>
      <c r="AC8" s="264"/>
    </row>
    <row r="9" spans="1:29" s="236" customFormat="1" x14ac:dyDescent="0.25">
      <c r="A9" s="232"/>
      <c r="B9" s="302">
        <v>3</v>
      </c>
      <c r="C9" s="302" t="s">
        <v>48</v>
      </c>
      <c r="D9" s="305" t="s">
        <v>66</v>
      </c>
      <c r="E9" s="305" t="s">
        <v>85</v>
      </c>
      <c r="F9" s="305" t="s">
        <v>87</v>
      </c>
      <c r="G9" s="302">
        <v>1</v>
      </c>
      <c r="H9" s="306" t="s">
        <v>1834</v>
      </c>
      <c r="I9" s="297" t="s">
        <v>1060</v>
      </c>
      <c r="J9" s="305" t="s">
        <v>827</v>
      </c>
      <c r="K9" s="283">
        <v>50000</v>
      </c>
      <c r="L9" s="284">
        <f>IF(K9&gt;=Datos!$D$14,(Datos!$D$14*Datos!$C$14),IF(K9&lt;=Datos!$D$14,(K9*Datos!$C$14)))</f>
        <v>1435</v>
      </c>
      <c r="M9" s="284">
        <f>IF(K9&gt;=Datos!$D$15,(Datos!$D$15*Datos!$C$15),IF(K9&lt;=Datos!$D$15,(K9*Datos!$C$15)))</f>
        <v>1520</v>
      </c>
      <c r="N9" s="231"/>
      <c r="O9" s="231">
        <f t="shared" ref="O9:O81" si="1">K9-(L9+M9+N9)</f>
        <v>47045</v>
      </c>
      <c r="P9" s="223">
        <f>IF(O9&lt;=Datos!$G$7,"0",IF(O9&lt;=Datos!$G$8,(O9-Datos!$F$8)*Datos!$I$6,IF(O9&lt;=Datos!$G$9,Datos!$I$8+(O9-Datos!$F$9)*Datos!$J$6,IF(O9&gt;=Datos!$F$10,(Datos!$I$8+Datos!$J$8)+(O9-Datos!$F$10)*Datos!$K$6))))-W9</f>
        <v>1853.9984999999997</v>
      </c>
      <c r="Q9" s="234">
        <f>IFERROR(VLOOKUP(C9,[1]Hoja1!$D$5:$E$58,2,FALSE),0)</f>
        <v>0</v>
      </c>
      <c r="R9" s="234"/>
      <c r="S9" s="234"/>
      <c r="T9" s="234"/>
      <c r="U9" s="234"/>
      <c r="V9" s="234">
        <v>25</v>
      </c>
      <c r="W9" s="234"/>
      <c r="X9" s="234">
        <f t="shared" ref="X9:X75" si="2">SUM(P9:V9)+(L9+M9+N9)-W9</f>
        <v>4833.9984999999997</v>
      </c>
      <c r="Y9" s="234">
        <f t="shared" si="0"/>
        <v>45166.001499999998</v>
      </c>
      <c r="Z9" s="296" t="s">
        <v>89</v>
      </c>
      <c r="AA9" s="308">
        <v>44197</v>
      </c>
      <c r="AB9" s="235"/>
      <c r="AC9" s="264"/>
    </row>
    <row r="10" spans="1:29" s="236" customFormat="1" x14ac:dyDescent="0.25">
      <c r="A10" s="232"/>
      <c r="B10" s="302">
        <v>4</v>
      </c>
      <c r="C10" s="295" t="s">
        <v>49</v>
      </c>
      <c r="D10" s="232" t="s">
        <v>67</v>
      </c>
      <c r="E10" s="232" t="s">
        <v>85</v>
      </c>
      <c r="F10" s="232" t="s">
        <v>87</v>
      </c>
      <c r="G10" s="295">
        <v>4</v>
      </c>
      <c r="H10" s="296" t="s">
        <v>1211</v>
      </c>
      <c r="I10" s="297" t="s">
        <v>1062</v>
      </c>
      <c r="J10" s="232" t="s">
        <v>828</v>
      </c>
      <c r="K10" s="233">
        <v>67210</v>
      </c>
      <c r="L10" s="284">
        <f>IF(K10&gt;=Datos!$D$14,(Datos!$D$14*Datos!$C$14),IF(K10&lt;=Datos!$D$14,(K10*Datos!$C$14)))</f>
        <v>1928.9269999999999</v>
      </c>
      <c r="M10" s="284">
        <f>IF(K10&gt;=Datos!$D$15,(Datos!$D$15*Datos!$C$15),IF(K10&lt;=Datos!$D$15,(K10*Datos!$C$15)))</f>
        <v>2043.184</v>
      </c>
      <c r="N10" s="231">
        <v>1715.46</v>
      </c>
      <c r="O10" s="231">
        <f t="shared" si="1"/>
        <v>61522.429000000004</v>
      </c>
      <c r="P10" s="223">
        <f>IF(O10&lt;=Datos!$G$7,"0",IF(O10&lt;=Datos!$G$8,(O10-Datos!$F$8)*Datos!$I$6,IF(O10&lt;=Datos!$G$9,Datos!$I$8+(O10-Datos!$F$9)*Datos!$J$6,IF(O10&gt;=Datos!$F$10,(Datos!$I$8+Datos!$J$8)+(O10-Datos!$F$10)*Datos!$K$6))))-W10</f>
        <v>4500.3614666666672</v>
      </c>
      <c r="Q10" s="231">
        <f>IFERROR(VLOOKUP(C10,[1]Hoja1!$D$5:$E$58,2,FALSE),0)</f>
        <v>0</v>
      </c>
      <c r="R10" s="234"/>
      <c r="S10" s="234"/>
      <c r="T10" s="234"/>
      <c r="U10" s="234"/>
      <c r="V10" s="234">
        <v>25</v>
      </c>
      <c r="W10" s="231"/>
      <c r="X10" s="234">
        <f t="shared" si="2"/>
        <v>10212.932466666667</v>
      </c>
      <c r="Y10" s="234">
        <f t="shared" si="0"/>
        <v>56997.067533333335</v>
      </c>
      <c r="Z10" s="296" t="s">
        <v>90</v>
      </c>
      <c r="AA10" s="298">
        <v>39169</v>
      </c>
      <c r="AB10" s="235"/>
      <c r="AC10" s="264"/>
    </row>
    <row r="11" spans="1:29" s="236" customFormat="1" x14ac:dyDescent="0.25">
      <c r="A11" s="232"/>
      <c r="B11" s="302">
        <v>5</v>
      </c>
      <c r="C11" s="295" t="s">
        <v>50</v>
      </c>
      <c r="D11" s="232" t="s">
        <v>69</v>
      </c>
      <c r="E11" s="232" t="s">
        <v>85</v>
      </c>
      <c r="F11" s="232" t="s">
        <v>87</v>
      </c>
      <c r="G11" s="295">
        <v>4</v>
      </c>
      <c r="H11" s="296" t="s">
        <v>1211</v>
      </c>
      <c r="I11" s="297" t="s">
        <v>1062</v>
      </c>
      <c r="J11" s="232" t="s">
        <v>831</v>
      </c>
      <c r="K11" s="233">
        <v>71662.5</v>
      </c>
      <c r="L11" s="284">
        <f>IF(K11&gt;=Datos!$D$14,(Datos!$D$14*Datos!$C$14),IF(K11&lt;=Datos!$D$14,(K11*Datos!$C$14)))</f>
        <v>2056.7137499999999</v>
      </c>
      <c r="M11" s="284">
        <f>IF(K11&gt;=Datos!$D$15,(Datos!$D$15*Datos!$C$15),IF(K11&lt;=Datos!$D$15,(K11*Datos!$C$15)))</f>
        <v>2178.54</v>
      </c>
      <c r="N11" s="231"/>
      <c r="O11" s="231">
        <f t="shared" si="1"/>
        <v>67427.246249999997</v>
      </c>
      <c r="P11" s="223">
        <f>IF(O11&lt;=Datos!$G$7,"0",IF(O11&lt;=Datos!$G$8,(O11-Datos!$F$8)*Datos!$I$6,IF(O11&lt;=Datos!$G$9,Datos!$I$8+(O11-Datos!$F$9)*Datos!$J$6,IF(O11&gt;=Datos!$F$10,(Datos!$I$8+Datos!$J$8)+(O11-Datos!$F$10)*Datos!$K$6))))-W11</f>
        <v>5681.3249166666656</v>
      </c>
      <c r="Q11" s="231">
        <f>IFERROR(VLOOKUP(C11,[1]Hoja1!$D$5:$E$58,2,FALSE),0)</f>
        <v>0</v>
      </c>
      <c r="R11" s="234"/>
      <c r="S11" s="234"/>
      <c r="T11" s="234"/>
      <c r="U11" s="234"/>
      <c r="V11" s="234">
        <v>25</v>
      </c>
      <c r="W11" s="231"/>
      <c r="X11" s="234">
        <f t="shared" si="2"/>
        <v>9941.5786666666645</v>
      </c>
      <c r="Y11" s="234">
        <f t="shared" si="0"/>
        <v>61720.921333333332</v>
      </c>
      <c r="Z11" s="296" t="s">
        <v>91</v>
      </c>
      <c r="AA11" s="298">
        <v>44197</v>
      </c>
      <c r="AB11" s="235"/>
      <c r="AC11" s="264"/>
    </row>
    <row r="12" spans="1:29" s="236" customFormat="1" x14ac:dyDescent="0.25">
      <c r="A12" s="232"/>
      <c r="B12" s="302">
        <v>6</v>
      </c>
      <c r="C12" s="295" t="s">
        <v>1317</v>
      </c>
      <c r="D12" s="232" t="s">
        <v>1318</v>
      </c>
      <c r="E12" s="232" t="s">
        <v>85</v>
      </c>
      <c r="F12" s="232" t="s">
        <v>87</v>
      </c>
      <c r="G12" s="295">
        <v>5</v>
      </c>
      <c r="H12" s="296" t="s">
        <v>1210</v>
      </c>
      <c r="I12" s="297" t="s">
        <v>1060</v>
      </c>
      <c r="J12" s="232" t="s">
        <v>1319</v>
      </c>
      <c r="K12" s="233">
        <v>35000</v>
      </c>
      <c r="L12" s="284">
        <f>IF(K12&gt;=Datos!$D$14,(Datos!$D$14*Datos!$C$14),IF(K12&lt;=Datos!$D$14,(K12*Datos!$C$14)))</f>
        <v>1004.5</v>
      </c>
      <c r="M12" s="284">
        <f>IF(K12&gt;=Datos!$D$15,(Datos!$D$15*Datos!$C$15),IF(K12&lt;=Datos!$D$15,(K12*Datos!$C$15)))</f>
        <v>1064</v>
      </c>
      <c r="N12" s="231"/>
      <c r="O12" s="231">
        <f t="shared" si="1"/>
        <v>32931.5</v>
      </c>
      <c r="P12" s="223">
        <f>IF(O12&lt;=Datos!$G$7,"0",IF(O12&lt;=Datos!$G$8,(O12-Datos!$F$8)*Datos!$I$6,IF(O12&lt;=Datos!$G$9,Datos!$I$8+(O12-Datos!$F$9)*Datos!$J$6,IF(O12&gt;=Datos!$F$10,(Datos!$I$8+Datos!$J$8)+(O12-Datos!$F$10)*Datos!$K$6))))-W12</f>
        <v>0</v>
      </c>
      <c r="Q12" s="231">
        <f>IFERROR(VLOOKUP(C12,[1]Hoja1!$D$5:$E$58,2,FALSE),0)</f>
        <v>0</v>
      </c>
      <c r="R12" s="234"/>
      <c r="S12" s="234"/>
      <c r="T12" s="234"/>
      <c r="U12" s="234"/>
      <c r="V12" s="234">
        <v>25</v>
      </c>
      <c r="W12" s="231"/>
      <c r="X12" s="234">
        <f t="shared" si="2"/>
        <v>2093.5</v>
      </c>
      <c r="Y12" s="234">
        <f t="shared" si="0"/>
        <v>32906.5</v>
      </c>
      <c r="Z12" s="296"/>
      <c r="AA12" s="298">
        <v>45108</v>
      </c>
      <c r="AB12" s="235"/>
      <c r="AC12" s="264"/>
    </row>
    <row r="13" spans="1:29" s="236" customFormat="1" x14ac:dyDescent="0.25">
      <c r="A13" s="232"/>
      <c r="B13" s="302">
        <v>7</v>
      </c>
      <c r="C13" s="295" t="s">
        <v>52</v>
      </c>
      <c r="D13" s="232" t="s">
        <v>71</v>
      </c>
      <c r="E13" s="232" t="s">
        <v>85</v>
      </c>
      <c r="F13" s="232" t="s">
        <v>87</v>
      </c>
      <c r="G13" s="295">
        <v>5</v>
      </c>
      <c r="H13" s="296" t="s">
        <v>1210</v>
      </c>
      <c r="I13" s="297" t="s">
        <v>1060</v>
      </c>
      <c r="J13" s="232" t="s">
        <v>960</v>
      </c>
      <c r="K13" s="233">
        <v>60000</v>
      </c>
      <c r="L13" s="284">
        <f>IF(K13&gt;=Datos!$D$14,(Datos!$D$14*Datos!$C$14),IF(K13&lt;=Datos!$D$14,(K13*Datos!$C$14)))</f>
        <v>1722</v>
      </c>
      <c r="M13" s="284">
        <f>IF(K13&gt;=Datos!$D$15,(Datos!$D$15*Datos!$C$15),IF(K13&lt;=Datos!$D$15,(K13*Datos!$C$15)))</f>
        <v>1824</v>
      </c>
      <c r="N13" s="231"/>
      <c r="O13" s="231">
        <f t="shared" si="1"/>
        <v>56454</v>
      </c>
      <c r="P13" s="223">
        <f>IF(O13&lt;=Datos!$G$7,"0",IF(O13&lt;=Datos!$G$8,(O13-Datos!$F$8)*Datos!$I$6,IF(O13&lt;=Datos!$G$9,Datos!$I$8+(O13-Datos!$F$9)*Datos!$J$6,IF(O13&gt;=Datos!$F$10,(Datos!$I$8+Datos!$J$8)+(O13-Datos!$F$10)*Datos!$K$6))))-W13</f>
        <v>3486.6756666666661</v>
      </c>
      <c r="Q13" s="231">
        <f>IFERROR(VLOOKUP(C13,[1]Hoja1!$D$5:$E$58,2,FALSE),0)</f>
        <v>0</v>
      </c>
      <c r="R13" s="234"/>
      <c r="S13" s="234"/>
      <c r="T13" s="234"/>
      <c r="U13" s="234"/>
      <c r="V13" s="234">
        <v>25</v>
      </c>
      <c r="W13" s="231"/>
      <c r="X13" s="234">
        <f t="shared" si="2"/>
        <v>7057.6756666666661</v>
      </c>
      <c r="Y13" s="234">
        <f t="shared" si="0"/>
        <v>52942.324333333338</v>
      </c>
      <c r="Z13" s="296" t="s">
        <v>92</v>
      </c>
      <c r="AA13" s="298">
        <v>44511</v>
      </c>
      <c r="AB13" s="235"/>
      <c r="AC13" s="264"/>
    </row>
    <row r="14" spans="1:29" s="236" customFormat="1" x14ac:dyDescent="0.25">
      <c r="A14" s="232"/>
      <c r="B14" s="302">
        <v>8</v>
      </c>
      <c r="C14" s="295" t="s">
        <v>53</v>
      </c>
      <c r="D14" s="232" t="s">
        <v>72</v>
      </c>
      <c r="E14" s="232" t="s">
        <v>85</v>
      </c>
      <c r="F14" s="232" t="s">
        <v>87</v>
      </c>
      <c r="G14" s="295">
        <v>1</v>
      </c>
      <c r="H14" s="296" t="s">
        <v>1548</v>
      </c>
      <c r="I14" s="297" t="s">
        <v>1061</v>
      </c>
      <c r="J14" s="232" t="s">
        <v>833</v>
      </c>
      <c r="K14" s="233">
        <f>13860+4140</f>
        <v>18000</v>
      </c>
      <c r="L14" s="284">
        <f>IF(K14&gt;=Datos!$D$14,(Datos!$D$14*Datos!$C$14),IF(K14&lt;=Datos!$D$14,(K14*Datos!$C$14)))</f>
        <v>516.6</v>
      </c>
      <c r="M14" s="284">
        <f>IF(K14&gt;=Datos!$D$15,(Datos!$D$15*Datos!$C$15),IF(K14&lt;=Datos!$D$15,(K14*Datos!$C$15)))</f>
        <v>547.20000000000005</v>
      </c>
      <c r="N14" s="231"/>
      <c r="O14" s="231">
        <f t="shared" si="1"/>
        <v>16936.2</v>
      </c>
      <c r="P14" s="223">
        <f>IF(O14&lt;=Datos!$G$7,"0",IF(O14&lt;=Datos!$G$8,(O14-Datos!$F$8)*Datos!$I$6,IF(O14&lt;=Datos!$G$9,Datos!$I$8+(O14-Datos!$F$9)*Datos!$J$6,IF(O14&gt;=Datos!$F$10,(Datos!$I$8+Datos!$J$8)+(O14-Datos!$F$10)*Datos!$K$6))))-W14</f>
        <v>0</v>
      </c>
      <c r="Q14" s="231">
        <v>5228.3</v>
      </c>
      <c r="R14" s="234"/>
      <c r="S14" s="234"/>
      <c r="T14" s="234"/>
      <c r="U14" s="234"/>
      <c r="V14" s="234">
        <v>25</v>
      </c>
      <c r="W14" s="231"/>
      <c r="X14" s="234">
        <f t="shared" si="2"/>
        <v>6317.1</v>
      </c>
      <c r="Y14" s="234">
        <f t="shared" si="0"/>
        <v>11682.9</v>
      </c>
      <c r="Z14" s="296" t="s">
        <v>93</v>
      </c>
      <c r="AA14" s="298">
        <v>44197</v>
      </c>
      <c r="AB14" s="235"/>
      <c r="AC14" s="264"/>
    </row>
    <row r="15" spans="1:29" s="236" customFormat="1" x14ac:dyDescent="0.25">
      <c r="A15" s="232"/>
      <c r="B15" s="302">
        <v>9</v>
      </c>
      <c r="C15" s="295" t="s">
        <v>54</v>
      </c>
      <c r="D15" s="232" t="s">
        <v>73</v>
      </c>
      <c r="E15" s="232" t="s">
        <v>85</v>
      </c>
      <c r="F15" s="232" t="s">
        <v>87</v>
      </c>
      <c r="G15" s="295">
        <v>4</v>
      </c>
      <c r="H15" s="296" t="s">
        <v>1211</v>
      </c>
      <c r="I15" s="297" t="s">
        <v>1062</v>
      </c>
      <c r="J15" s="232" t="s">
        <v>835</v>
      </c>
      <c r="K15" s="233">
        <v>67210</v>
      </c>
      <c r="L15" s="284">
        <f>IF(K15&gt;=Datos!$D$14,(Datos!$D$14*Datos!$C$14),IF(K15&lt;=Datos!$D$14,(K15*Datos!$C$14)))</f>
        <v>1928.9269999999999</v>
      </c>
      <c r="M15" s="284">
        <f>IF(K15&gt;=Datos!$D$15,(Datos!$D$15*Datos!$C$15),IF(K15&lt;=Datos!$D$15,(K15*Datos!$C$15)))</f>
        <v>2043.184</v>
      </c>
      <c r="N15" s="231">
        <f>+N10*2</f>
        <v>3430.92</v>
      </c>
      <c r="O15" s="231">
        <f t="shared" si="1"/>
        <v>59806.968999999997</v>
      </c>
      <c r="P15" s="223">
        <f>IF(O15&lt;=Datos!$G$7,"0",IF(O15&lt;=Datos!$G$8,(O15-Datos!$F$8)*Datos!$I$6,IF(O15&lt;=Datos!$G$9,Datos!$I$8+(O15-Datos!$F$9)*Datos!$J$6,IF(O15&gt;=Datos!$F$10,(Datos!$I$8+Datos!$J$8)+(O15-Datos!$F$10)*Datos!$K$6))))-W15</f>
        <v>4157.2694666666657</v>
      </c>
      <c r="Q15" s="231">
        <f>IFERROR(VLOOKUP(C15,[1]Hoja1!$D$5:$E$58,2,FALSE),0)</f>
        <v>0</v>
      </c>
      <c r="R15" s="234"/>
      <c r="S15" s="234"/>
      <c r="T15" s="234"/>
      <c r="U15" s="234"/>
      <c r="V15" s="234">
        <v>25</v>
      </c>
      <c r="W15" s="231"/>
      <c r="X15" s="234">
        <f t="shared" si="2"/>
        <v>11585.300466666666</v>
      </c>
      <c r="Y15" s="234">
        <f t="shared" si="0"/>
        <v>55624.699533333333</v>
      </c>
      <c r="Z15" s="296" t="s">
        <v>94</v>
      </c>
      <c r="AA15" s="298">
        <v>39231</v>
      </c>
      <c r="AB15" s="235"/>
      <c r="AC15" s="264"/>
    </row>
    <row r="16" spans="1:29" s="236" customFormat="1" x14ac:dyDescent="0.25">
      <c r="A16" s="232"/>
      <c r="B16" s="302">
        <v>10</v>
      </c>
      <c r="C16" s="295" t="s">
        <v>55</v>
      </c>
      <c r="D16" s="232" t="s">
        <v>74</v>
      </c>
      <c r="E16" s="232" t="s">
        <v>85</v>
      </c>
      <c r="F16" s="232" t="s">
        <v>87</v>
      </c>
      <c r="G16" s="295">
        <v>4</v>
      </c>
      <c r="H16" s="296" t="s">
        <v>1206</v>
      </c>
      <c r="I16" s="297" t="s">
        <v>1060</v>
      </c>
      <c r="J16" s="232" t="s">
        <v>836</v>
      </c>
      <c r="K16" s="233">
        <f>71663+8337+10000</f>
        <v>90000</v>
      </c>
      <c r="L16" s="284">
        <f>IF(K16&gt;=Datos!$D$14,(Datos!$D$14*Datos!$C$14),IF(K16&lt;=Datos!$D$14,(K16*Datos!$C$14)))</f>
        <v>2583</v>
      </c>
      <c r="M16" s="284">
        <f>IF(K16&gt;=Datos!$D$15,(Datos!$D$15*Datos!$C$15),IF(K16&lt;=Datos!$D$15,(K16*Datos!$C$15)))</f>
        <v>2736</v>
      </c>
      <c r="N16" s="231"/>
      <c r="O16" s="231">
        <f t="shared" si="1"/>
        <v>84681</v>
      </c>
      <c r="P16" s="223">
        <f>IF(O16&lt;=Datos!$G$7,"0",IF(O16&lt;=Datos!$G$8,(O16-Datos!$F$8)*Datos!$I$6,IF(O16&lt;=Datos!$G$9,Datos!$I$8+(O16-Datos!$F$9)*Datos!$J$6,IF(O16&gt;=Datos!$F$10,(Datos!$I$8+Datos!$J$8)+(O16-Datos!$F$10)*Datos!$K$6))))-W16</f>
        <v>9753.1106666666674</v>
      </c>
      <c r="Q16" s="231">
        <f>IFERROR(VLOOKUP(C16,[1]Hoja1!$D$5:$E$58,2,FALSE),0)</f>
        <v>0</v>
      </c>
      <c r="R16" s="234"/>
      <c r="S16" s="234"/>
      <c r="T16" s="234"/>
      <c r="U16" s="234"/>
      <c r="V16" s="234">
        <v>25</v>
      </c>
      <c r="W16" s="231"/>
      <c r="X16" s="234">
        <f t="shared" si="2"/>
        <v>15097.110666666667</v>
      </c>
      <c r="Y16" s="234">
        <f t="shared" si="0"/>
        <v>74902.889333333325</v>
      </c>
      <c r="Z16" s="296" t="s">
        <v>95</v>
      </c>
      <c r="AA16" s="298">
        <v>40118</v>
      </c>
      <c r="AB16" s="235"/>
      <c r="AC16" s="264"/>
    </row>
    <row r="17" spans="1:29" s="236" customFormat="1" x14ac:dyDescent="0.25">
      <c r="A17" s="232"/>
      <c r="B17" s="302">
        <v>11</v>
      </c>
      <c r="C17" s="295" t="s">
        <v>931</v>
      </c>
      <c r="D17" s="297" t="s">
        <v>932</v>
      </c>
      <c r="E17" s="232" t="s">
        <v>85</v>
      </c>
      <c r="F17" s="232" t="s">
        <v>87</v>
      </c>
      <c r="G17" s="295">
        <v>1</v>
      </c>
      <c r="H17" s="296" t="s">
        <v>1636</v>
      </c>
      <c r="I17" s="297" t="s">
        <v>1062</v>
      </c>
      <c r="J17" s="232" t="s">
        <v>862</v>
      </c>
      <c r="K17" s="233">
        <v>30000</v>
      </c>
      <c r="L17" s="284">
        <f>IF(K17&gt;=Datos!$D$14,(Datos!$D$14*Datos!$C$14),IF(K17&lt;=Datos!$D$14,(K17*Datos!$C$14)))</f>
        <v>861</v>
      </c>
      <c r="M17" s="284">
        <f>IF(K17&gt;=Datos!$D$15,(Datos!$D$15*Datos!$C$15),IF(K17&lt;=Datos!$D$15,(K17*Datos!$C$15)))</f>
        <v>912</v>
      </c>
      <c r="N17" s="231">
        <v>1715.46</v>
      </c>
      <c r="O17" s="231">
        <f t="shared" si="1"/>
        <v>26511.54</v>
      </c>
      <c r="P17" s="223">
        <f>IF(O17&lt;=Datos!$G$7,"0",IF(O17&lt;=Datos!$G$8,(O17-Datos!$F$8)*Datos!$I$6,IF(O17&lt;=Datos!$G$9,Datos!$I$8+(O17-Datos!$F$9)*Datos!$J$6,IF(O17&gt;=Datos!$F$10,(Datos!$I$8+Datos!$J$8)+(O17-Datos!$F$10)*Datos!$K$6))))-W17</f>
        <v>0</v>
      </c>
      <c r="Q17" s="231">
        <f>IFERROR(VLOOKUP(C17,[1]Hoja1!$D$5:$E$58,2,FALSE),0)</f>
        <v>0</v>
      </c>
      <c r="R17" s="234"/>
      <c r="S17" s="234"/>
      <c r="T17" s="234"/>
      <c r="U17" s="234"/>
      <c r="V17" s="234">
        <v>25</v>
      </c>
      <c r="W17" s="231"/>
      <c r="X17" s="234">
        <f t="shared" si="2"/>
        <v>3513.46</v>
      </c>
      <c r="Y17" s="234">
        <f t="shared" si="0"/>
        <v>26486.54</v>
      </c>
      <c r="Z17" s="296"/>
      <c r="AA17" s="298">
        <v>44652</v>
      </c>
      <c r="AB17" s="235"/>
      <c r="AC17" s="264"/>
    </row>
    <row r="18" spans="1:29" s="236" customFormat="1" x14ac:dyDescent="0.25">
      <c r="A18" s="232"/>
      <c r="B18" s="302">
        <v>12</v>
      </c>
      <c r="C18" s="295" t="s">
        <v>1492</v>
      </c>
      <c r="D18" s="297" t="s">
        <v>1493</v>
      </c>
      <c r="E18" s="232" t="s">
        <v>85</v>
      </c>
      <c r="F18" s="232" t="s">
        <v>87</v>
      </c>
      <c r="G18" s="295">
        <v>1</v>
      </c>
      <c r="H18" s="296" t="s">
        <v>1379</v>
      </c>
      <c r="I18" s="297" t="s">
        <v>1062</v>
      </c>
      <c r="J18" s="232" t="s">
        <v>1474</v>
      </c>
      <c r="K18" s="233">
        <v>26000</v>
      </c>
      <c r="L18" s="284">
        <f>IF(K18&gt;=Datos!$D$14,(Datos!$D$14*Datos!$C$14),IF(K18&lt;=Datos!$D$14,(K18*Datos!$C$14)))</f>
        <v>746.2</v>
      </c>
      <c r="M18" s="284">
        <f>IF(K18&gt;=Datos!$D$15,(Datos!$D$15*Datos!$C$15),IF(K18&lt;=Datos!$D$15,(K18*Datos!$C$15)))</f>
        <v>790.4</v>
      </c>
      <c r="N18" s="234"/>
      <c r="O18" s="231">
        <f t="shared" si="1"/>
        <v>24463.4</v>
      </c>
      <c r="P18" s="223">
        <f>IF(O18&lt;=Datos!$G$7,"0",IF(O18&lt;=Datos!$G$8,(O18-Datos!$F$8)*Datos!$I$6,IF(O18&lt;=Datos!$G$9,Datos!$I$8+(O18-Datos!$F$9)*Datos!$J$6,IF(O18&gt;=Datos!$F$10,(Datos!$I$8+Datos!$J$8)+(O18-Datos!$F$10)*Datos!$K$6))))-W18</f>
        <v>0</v>
      </c>
      <c r="Q18" s="231">
        <f>IFERROR(VLOOKUP(C18,[1]Hoja1!$D$5:$E$58,2,FALSE),0)</f>
        <v>0</v>
      </c>
      <c r="R18" s="234"/>
      <c r="S18" s="234"/>
      <c r="T18" s="234"/>
      <c r="U18" s="234"/>
      <c r="V18" s="234">
        <v>25</v>
      </c>
      <c r="W18" s="231"/>
      <c r="X18" s="234">
        <f t="shared" si="2"/>
        <v>1561.6</v>
      </c>
      <c r="Y18" s="234">
        <f t="shared" si="0"/>
        <v>24438.400000000001</v>
      </c>
      <c r="Z18" s="296">
        <v>9606795762</v>
      </c>
      <c r="AA18" s="298">
        <v>45352</v>
      </c>
      <c r="AB18" s="235"/>
      <c r="AC18" s="264"/>
    </row>
    <row r="19" spans="1:29" s="236" customFormat="1" x14ac:dyDescent="0.25">
      <c r="A19" s="232"/>
      <c r="B19" s="302">
        <v>13</v>
      </c>
      <c r="C19" s="295" t="s">
        <v>57</v>
      </c>
      <c r="D19" s="232" t="s">
        <v>76</v>
      </c>
      <c r="E19" s="232" t="s">
        <v>85</v>
      </c>
      <c r="F19" s="232" t="s">
        <v>87</v>
      </c>
      <c r="G19" s="295">
        <v>5</v>
      </c>
      <c r="H19" s="296" t="s">
        <v>1210</v>
      </c>
      <c r="I19" s="297" t="s">
        <v>1060</v>
      </c>
      <c r="J19" s="232" t="s">
        <v>837</v>
      </c>
      <c r="K19" s="233">
        <v>71662.5</v>
      </c>
      <c r="L19" s="284">
        <f>IF(K19&gt;=Datos!$D$14,(Datos!$D$14*Datos!$C$14),IF(K19&lt;=Datos!$D$14,(K19*Datos!$C$14)))</f>
        <v>2056.7137499999999</v>
      </c>
      <c r="M19" s="284">
        <f>IF(K19&gt;=Datos!$D$15,(Datos!$D$15*Datos!$C$15),IF(K19&lt;=Datos!$D$15,(K19*Datos!$C$15)))</f>
        <v>2178.54</v>
      </c>
      <c r="N19" s="284">
        <v>1715.46</v>
      </c>
      <c r="O19" s="231">
        <f t="shared" si="1"/>
        <v>65711.786250000005</v>
      </c>
      <c r="P19" s="223">
        <f>IF(O19&lt;=Datos!$G$7,"0",IF(O19&lt;=Datos!$G$8,(O19-Datos!$F$8)*Datos!$I$6,IF(O19&lt;=Datos!$G$9,Datos!$I$8+(O19-Datos!$F$9)*Datos!$J$6,IF(O19&gt;=Datos!$F$10,(Datos!$I$8+Datos!$J$8)+(O19-Datos!$F$10)*Datos!$K$6))))-W19</f>
        <v>5338.2329166666677</v>
      </c>
      <c r="Q19" s="231">
        <f>IFERROR(VLOOKUP(C19,[1]Hoja1!$D$5:$E$58,2,FALSE),0)</f>
        <v>0</v>
      </c>
      <c r="R19" s="234"/>
      <c r="S19" s="234"/>
      <c r="T19" s="234"/>
      <c r="U19" s="234"/>
      <c r="V19" s="234">
        <v>25</v>
      </c>
      <c r="W19" s="231"/>
      <c r="X19" s="234">
        <f t="shared" si="2"/>
        <v>11313.946666666667</v>
      </c>
      <c r="Y19" s="234">
        <f t="shared" si="0"/>
        <v>60348.55333333333</v>
      </c>
      <c r="Z19" s="296" t="s">
        <v>97</v>
      </c>
      <c r="AA19" s="298">
        <v>44197</v>
      </c>
      <c r="AB19" s="235"/>
      <c r="AC19" s="264"/>
    </row>
    <row r="20" spans="1:29" s="236" customFormat="1" x14ac:dyDescent="0.25">
      <c r="A20" s="232"/>
      <c r="B20" s="302">
        <v>14</v>
      </c>
      <c r="C20" s="295" t="s">
        <v>1293</v>
      </c>
      <c r="D20" s="232" t="s">
        <v>1294</v>
      </c>
      <c r="E20" s="232" t="s">
        <v>85</v>
      </c>
      <c r="F20" s="232" t="s">
        <v>87</v>
      </c>
      <c r="G20" s="295">
        <v>1</v>
      </c>
      <c r="H20" s="296" t="s">
        <v>1379</v>
      </c>
      <c r="I20" s="297" t="s">
        <v>1060</v>
      </c>
      <c r="J20" s="232" t="s">
        <v>1298</v>
      </c>
      <c r="K20" s="233">
        <v>25000</v>
      </c>
      <c r="L20" s="284">
        <f>IF(K20&gt;=Datos!$D$14,(Datos!$D$14*Datos!$C$14),IF(K20&lt;=Datos!$D$14,(K20*Datos!$C$14)))</f>
        <v>717.5</v>
      </c>
      <c r="M20" s="284">
        <f>IF(K20&gt;=Datos!$D$15,(Datos!$D$15*Datos!$C$15),IF(K20&lt;=Datos!$D$15,(K20*Datos!$C$15)))</f>
        <v>760</v>
      </c>
      <c r="N20" s="231"/>
      <c r="O20" s="231">
        <f t="shared" si="1"/>
        <v>23522.5</v>
      </c>
      <c r="P20" s="223">
        <f>IF(O20&lt;=Datos!$G$7,"0",IF(O20&lt;=Datos!$G$8,(O20-Datos!$F$8)*Datos!$I$6,IF(O20&lt;=Datos!$G$9,Datos!$I$8+(O20-Datos!$F$9)*Datos!$J$6,IF(O20&gt;=Datos!$F$10,(Datos!$I$8+Datos!$J$8)+(O20-Datos!$F$10)*Datos!$K$6))))-W20</f>
        <v>0</v>
      </c>
      <c r="Q20" s="231">
        <f>IFERROR(VLOOKUP(C20,[1]Hoja1!$D$5:$E$58,2,FALSE),0)</f>
        <v>0</v>
      </c>
      <c r="R20" s="234"/>
      <c r="S20" s="234"/>
      <c r="T20" s="234"/>
      <c r="U20" s="234"/>
      <c r="V20" s="234">
        <v>25</v>
      </c>
      <c r="W20" s="231"/>
      <c r="X20" s="234">
        <f t="shared" si="2"/>
        <v>1502.5</v>
      </c>
      <c r="Y20" s="234">
        <f t="shared" si="0"/>
        <v>23497.5</v>
      </c>
      <c r="Z20" s="296">
        <v>9605831736</v>
      </c>
      <c r="AA20" s="298">
        <v>45078</v>
      </c>
      <c r="AB20" s="235"/>
      <c r="AC20" s="264"/>
    </row>
    <row r="21" spans="1:29" s="236" customFormat="1" x14ac:dyDescent="0.25">
      <c r="A21" s="232"/>
      <c r="B21" s="302">
        <v>15</v>
      </c>
      <c r="C21" s="295" t="s">
        <v>58</v>
      </c>
      <c r="D21" s="232" t="s">
        <v>77</v>
      </c>
      <c r="E21" s="232" t="s">
        <v>86</v>
      </c>
      <c r="F21" s="232" t="s">
        <v>87</v>
      </c>
      <c r="G21" s="295">
        <v>5</v>
      </c>
      <c r="H21" s="296" t="s">
        <v>1210</v>
      </c>
      <c r="I21" s="297" t="s">
        <v>1060</v>
      </c>
      <c r="J21" s="232" t="s">
        <v>1593</v>
      </c>
      <c r="K21" s="233">
        <v>65000</v>
      </c>
      <c r="L21" s="284">
        <f>IF(K21&gt;=Datos!$D$14,(Datos!$D$14*Datos!$C$14),IF(K21&lt;=Datos!$D$14,(K21*Datos!$C$14)))</f>
        <v>1865.5</v>
      </c>
      <c r="M21" s="284">
        <f>IF(K21&gt;=Datos!$D$15,(Datos!$D$15*Datos!$C$15),IF(K21&lt;=Datos!$D$15,(K21*Datos!$C$15)))</f>
        <v>1976</v>
      </c>
      <c r="N21" s="231"/>
      <c r="O21" s="231">
        <f t="shared" si="1"/>
        <v>61158.5</v>
      </c>
      <c r="P21" s="223">
        <f>IF(O21&lt;=Datos!$G$7,"0",IF(O21&lt;=Datos!$G$8,(O21-Datos!$F$8)*Datos!$I$6,IF(O21&lt;=Datos!$G$9,Datos!$I$8+(O21-Datos!$F$9)*Datos!$J$6,IF(O21&gt;=Datos!$F$10,(Datos!$I$8+Datos!$J$8)+(O21-Datos!$F$10)*Datos!$K$6))))-W21</f>
        <v>4427.5756666666657</v>
      </c>
      <c r="Q21" s="231">
        <f>IFERROR(VLOOKUP(C21,[1]Hoja1!$D$5:$E$58,2,FALSE),0)</f>
        <v>0</v>
      </c>
      <c r="R21" s="234"/>
      <c r="S21" s="234"/>
      <c r="T21" s="234"/>
      <c r="U21" s="234"/>
      <c r="V21" s="234">
        <v>25</v>
      </c>
      <c r="W21" s="231"/>
      <c r="X21" s="234">
        <f t="shared" si="2"/>
        <v>8294.0756666666657</v>
      </c>
      <c r="Y21" s="234">
        <f t="shared" si="0"/>
        <v>56705.924333333336</v>
      </c>
      <c r="Z21" s="296"/>
      <c r="AA21" s="298">
        <v>45505</v>
      </c>
      <c r="AB21" s="235"/>
      <c r="AC21" s="264"/>
    </row>
    <row r="22" spans="1:29" s="236" customFormat="1" x14ac:dyDescent="0.25">
      <c r="A22" s="232"/>
      <c r="B22" s="302">
        <v>16</v>
      </c>
      <c r="C22" s="295" t="s">
        <v>953</v>
      </c>
      <c r="D22" s="232" t="s">
        <v>954</v>
      </c>
      <c r="E22" s="232" t="s">
        <v>85</v>
      </c>
      <c r="F22" s="232" t="s">
        <v>87</v>
      </c>
      <c r="G22" s="295">
        <v>1</v>
      </c>
      <c r="H22" s="296" t="s">
        <v>1548</v>
      </c>
      <c r="I22" s="297" t="s">
        <v>1062</v>
      </c>
      <c r="J22" s="232" t="s">
        <v>833</v>
      </c>
      <c r="K22" s="233">
        <f>12000+6000</f>
        <v>18000</v>
      </c>
      <c r="L22" s="284">
        <f>IF(K22&gt;=Datos!$D$14,(Datos!$D$14*Datos!$C$14),IF(K22&lt;=Datos!$D$14,(K22*Datos!$C$14)))</f>
        <v>516.6</v>
      </c>
      <c r="M22" s="284">
        <f>IF(K22&gt;=Datos!$D$15,(Datos!$D$15*Datos!$C$15),IF(K22&lt;=Datos!$D$15,(K22*Datos!$C$15)))</f>
        <v>547.20000000000005</v>
      </c>
      <c r="N22" s="231"/>
      <c r="O22" s="231">
        <f t="shared" si="1"/>
        <v>16936.2</v>
      </c>
      <c r="P22" s="223">
        <f>IF(O22&lt;=Datos!$G$7,"0",IF(O22&lt;=Datos!$G$8,(O22-Datos!$F$8)*Datos!$I$6,IF(O22&lt;=Datos!$G$9,Datos!$I$8+(O22-Datos!$F$9)*Datos!$J$6,IF(O22&gt;=Datos!$F$10,(Datos!$I$8+Datos!$J$8)+(O22-Datos!$F$10)*Datos!$K$6))))-W22</f>
        <v>0</v>
      </c>
      <c r="Q22" s="231">
        <f>IFERROR(VLOOKUP(C22,[1]Hoja1!$D$5:$E$58,2,FALSE),0)</f>
        <v>0</v>
      </c>
      <c r="R22" s="234"/>
      <c r="S22" s="234"/>
      <c r="T22" s="234"/>
      <c r="U22" s="234"/>
      <c r="V22" s="234">
        <v>25</v>
      </c>
      <c r="W22" s="231"/>
      <c r="X22" s="234">
        <f t="shared" si="2"/>
        <v>1088.8000000000002</v>
      </c>
      <c r="Y22" s="234">
        <f t="shared" si="0"/>
        <v>16911.2</v>
      </c>
      <c r="Z22" s="296"/>
      <c r="AA22" s="298">
        <v>44682</v>
      </c>
      <c r="AB22" s="235"/>
      <c r="AC22" s="264"/>
    </row>
    <row r="23" spans="1:29" s="236" customFormat="1" x14ac:dyDescent="0.25">
      <c r="A23" s="232"/>
      <c r="B23" s="302">
        <v>17</v>
      </c>
      <c r="C23" s="295" t="s">
        <v>1418</v>
      </c>
      <c r="D23" s="232" t="s">
        <v>1419</v>
      </c>
      <c r="E23" s="232" t="s">
        <v>86</v>
      </c>
      <c r="F23" s="232" t="s">
        <v>87</v>
      </c>
      <c r="G23" s="295">
        <v>5</v>
      </c>
      <c r="H23" s="296" t="s">
        <v>1210</v>
      </c>
      <c r="I23" s="297" t="s">
        <v>1061</v>
      </c>
      <c r="J23" s="232" t="s">
        <v>1561</v>
      </c>
      <c r="K23" s="233">
        <v>35000</v>
      </c>
      <c r="L23" s="284">
        <f>IF(K23&gt;=Datos!$D$14,(Datos!$D$14*Datos!$C$14),IF(K23&lt;=Datos!$D$14,(K23*Datos!$C$14)))</f>
        <v>1004.5</v>
      </c>
      <c r="M23" s="284">
        <f>IF(K23&gt;=Datos!$D$15,(Datos!$D$15*Datos!$C$15),IF(K23&lt;=Datos!$D$15,(K23*Datos!$C$15)))</f>
        <v>1064</v>
      </c>
      <c r="N23" s="231"/>
      <c r="O23" s="231">
        <f t="shared" si="1"/>
        <v>32931.5</v>
      </c>
      <c r="P23" s="223">
        <f>IF(O23&lt;=Datos!$G$7,"0",IF(O23&lt;=Datos!$G$8,(O23-Datos!$F$8)*Datos!$I$6,IF(O23&lt;=Datos!$G$9,Datos!$I$8+(O23-Datos!$F$9)*Datos!$J$6,IF(O23&gt;=Datos!$F$10,(Datos!$I$8+Datos!$J$8)+(O23-Datos!$F$10)*Datos!$K$6))))-W23</f>
        <v>0</v>
      </c>
      <c r="Q23" s="231">
        <f>IFERROR(VLOOKUP(C23,[1]Hoja1!$D$5:$E$58,2,FALSE),0)</f>
        <v>0</v>
      </c>
      <c r="R23" s="234"/>
      <c r="S23" s="234"/>
      <c r="T23" s="234"/>
      <c r="U23" s="234"/>
      <c r="V23" s="234">
        <v>25</v>
      </c>
      <c r="W23" s="231"/>
      <c r="X23" s="234">
        <f t="shared" si="2"/>
        <v>2093.5</v>
      </c>
      <c r="Y23" s="234">
        <f t="shared" si="0"/>
        <v>32906.5</v>
      </c>
      <c r="Z23" s="296">
        <v>9606355149</v>
      </c>
      <c r="AA23" s="298">
        <v>45231</v>
      </c>
      <c r="AB23" s="235"/>
      <c r="AC23" s="264"/>
    </row>
    <row r="24" spans="1:29" s="236" customFormat="1" x14ac:dyDescent="0.25">
      <c r="A24" s="232"/>
      <c r="B24" s="302">
        <v>18</v>
      </c>
      <c r="C24" s="295" t="s">
        <v>59</v>
      </c>
      <c r="D24" s="232" t="s">
        <v>78</v>
      </c>
      <c r="E24" s="232" t="s">
        <v>85</v>
      </c>
      <c r="F24" s="232" t="s">
        <v>87</v>
      </c>
      <c r="G24" s="295">
        <v>1</v>
      </c>
      <c r="H24" s="296" t="s">
        <v>1548</v>
      </c>
      <c r="I24" s="297" t="s">
        <v>1061</v>
      </c>
      <c r="J24" s="232" t="s">
        <v>833</v>
      </c>
      <c r="K24" s="233">
        <f>13860+4140</f>
        <v>18000</v>
      </c>
      <c r="L24" s="284">
        <f>IF(K24&gt;=Datos!$D$14,(Datos!$D$14*Datos!$C$14),IF(K24&lt;=Datos!$D$14,(K24*Datos!$C$14)))</f>
        <v>516.6</v>
      </c>
      <c r="M24" s="284">
        <f>IF(K24&gt;=Datos!$D$15,(Datos!$D$15*Datos!$C$15),IF(K24&lt;=Datos!$D$15,(K24*Datos!$C$15)))</f>
        <v>547.20000000000005</v>
      </c>
      <c r="N24" s="231"/>
      <c r="O24" s="231">
        <f t="shared" si="1"/>
        <v>16936.2</v>
      </c>
      <c r="P24" s="223">
        <f>IF(O24&lt;=Datos!$G$7,"0",IF(O24&lt;=Datos!$G$8,(O24-Datos!$F$8)*Datos!$I$6,IF(O24&lt;=Datos!$G$9,Datos!$I$8+(O24-Datos!$F$9)*Datos!$J$6,IF(O24&gt;=Datos!$F$10,(Datos!$I$8+Datos!$J$8)+(O24-Datos!$F$10)*Datos!$K$6))))-W24</f>
        <v>0</v>
      </c>
      <c r="Q24" s="231">
        <v>3573.42</v>
      </c>
      <c r="R24" s="234"/>
      <c r="S24" s="234"/>
      <c r="T24" s="234"/>
      <c r="U24" s="234"/>
      <c r="V24" s="234">
        <v>25</v>
      </c>
      <c r="W24" s="231"/>
      <c r="X24" s="234">
        <f t="shared" si="2"/>
        <v>4662.22</v>
      </c>
      <c r="Y24" s="234">
        <f t="shared" si="0"/>
        <v>13337.779999999999</v>
      </c>
      <c r="Z24" s="296" t="s">
        <v>98</v>
      </c>
      <c r="AA24" s="298">
        <v>44197</v>
      </c>
      <c r="AB24" s="235"/>
      <c r="AC24" s="264"/>
    </row>
    <row r="25" spans="1:29" s="236" customFormat="1" x14ac:dyDescent="0.25">
      <c r="A25" s="232"/>
      <c r="B25" s="302">
        <v>19</v>
      </c>
      <c r="C25" s="295" t="s">
        <v>981</v>
      </c>
      <c r="D25" s="232" t="s">
        <v>982</v>
      </c>
      <c r="E25" s="232" t="s">
        <v>85</v>
      </c>
      <c r="F25" s="232" t="s">
        <v>87</v>
      </c>
      <c r="G25" s="295">
        <v>1</v>
      </c>
      <c r="H25" s="296" t="s">
        <v>1502</v>
      </c>
      <c r="I25" s="297" t="s">
        <v>1062</v>
      </c>
      <c r="J25" s="232" t="s">
        <v>830</v>
      </c>
      <c r="K25" s="233">
        <v>50000</v>
      </c>
      <c r="L25" s="284">
        <f>IF(K25&gt;=Datos!$D$14,(Datos!$D$14*Datos!$C$14),IF(K25&lt;=Datos!$D$14,(K25*Datos!$C$14)))</f>
        <v>1435</v>
      </c>
      <c r="M25" s="284">
        <f>IF(K25&gt;=Datos!$D$15,(Datos!$D$15*Datos!$C$15),IF(K25&lt;=Datos!$D$15,(K25*Datos!$C$15)))</f>
        <v>1520</v>
      </c>
      <c r="N25" s="231"/>
      <c r="O25" s="231">
        <f t="shared" si="1"/>
        <v>47045</v>
      </c>
      <c r="P25" s="223">
        <f>IF(O25&lt;=Datos!$G$7,"0",IF(O25&lt;=Datos!$G$8,(O25-Datos!$F$8)*Datos!$I$6,IF(O25&lt;=Datos!$G$9,Datos!$I$8+(O25-Datos!$F$9)*Datos!$J$6,IF(O25&gt;=Datos!$F$10,(Datos!$I$8+Datos!$J$8)+(O25-Datos!$F$10)*Datos!$K$6))))-W25</f>
        <v>1853.9984999999997</v>
      </c>
      <c r="Q25" s="231">
        <f>IFERROR(VLOOKUP(C25,[1]Hoja1!$D$5:$E$58,2,FALSE),0)</f>
        <v>0</v>
      </c>
      <c r="R25" s="234"/>
      <c r="S25" s="234"/>
      <c r="T25" s="234"/>
      <c r="U25" s="234"/>
      <c r="V25" s="234">
        <v>25</v>
      </c>
      <c r="W25" s="231"/>
      <c r="X25" s="234">
        <f t="shared" si="2"/>
        <v>4833.9984999999997</v>
      </c>
      <c r="Y25" s="234">
        <f t="shared" si="0"/>
        <v>45166.001499999998</v>
      </c>
      <c r="Z25" s="296"/>
      <c r="AA25" s="298">
        <v>44713</v>
      </c>
      <c r="AB25" s="235"/>
      <c r="AC25" s="264"/>
    </row>
    <row r="26" spans="1:29" s="236" customFormat="1" x14ac:dyDescent="0.25">
      <c r="A26" s="232"/>
      <c r="B26" s="302">
        <v>20</v>
      </c>
      <c r="C26" s="295" t="s">
        <v>1435</v>
      </c>
      <c r="D26" s="232" t="s">
        <v>1436</v>
      </c>
      <c r="E26" s="232" t="s">
        <v>85</v>
      </c>
      <c r="F26" s="232" t="s">
        <v>87</v>
      </c>
      <c r="G26" s="295">
        <v>1</v>
      </c>
      <c r="H26" s="296" t="s">
        <v>1548</v>
      </c>
      <c r="I26" s="297" t="s">
        <v>1067</v>
      </c>
      <c r="J26" s="232" t="s">
        <v>833</v>
      </c>
      <c r="K26" s="233">
        <v>17500</v>
      </c>
      <c r="L26" s="284">
        <f>IF(K26&gt;=Datos!$D$14,(Datos!$D$14*Datos!$C$14),IF(K26&lt;=Datos!$D$14,(K26*Datos!$C$14)))</f>
        <v>502.25</v>
      </c>
      <c r="M26" s="284">
        <f>IF(K26&gt;=Datos!$D$15,(Datos!$D$15*Datos!$C$15),IF(K26&lt;=Datos!$D$15,(K26*Datos!$C$15)))</f>
        <v>532</v>
      </c>
      <c r="N26" s="231"/>
      <c r="O26" s="231">
        <f t="shared" si="1"/>
        <v>16465.75</v>
      </c>
      <c r="P26" s="223">
        <f>IF(O26&lt;=Datos!$G$7,"0",IF(O26&lt;=Datos!$G$8,(O26-Datos!$F$8)*Datos!$I$6,IF(O26&lt;=Datos!$G$9,Datos!$I$8+(O26-Datos!$F$9)*Datos!$J$6,IF(O26&gt;=Datos!$F$10,(Datos!$I$8+Datos!$J$8)+(O26-Datos!$F$10)*Datos!$K$6))))-W26</f>
        <v>0</v>
      </c>
      <c r="Q26" s="231">
        <v>0</v>
      </c>
      <c r="R26" s="234"/>
      <c r="S26" s="234"/>
      <c r="T26" s="234"/>
      <c r="U26" s="234"/>
      <c r="V26" s="234">
        <v>25</v>
      </c>
      <c r="W26" s="231"/>
      <c r="X26" s="234">
        <f t="shared" si="2"/>
        <v>1059.25</v>
      </c>
      <c r="Y26" s="234">
        <f t="shared" si="0"/>
        <v>16440.75</v>
      </c>
      <c r="Z26" s="296">
        <v>9606355146</v>
      </c>
      <c r="AA26" s="298">
        <v>45231</v>
      </c>
      <c r="AB26" s="235"/>
      <c r="AC26" s="264"/>
    </row>
    <row r="27" spans="1:29" s="236" customFormat="1" x14ac:dyDescent="0.25">
      <c r="A27" s="232"/>
      <c r="B27" s="302">
        <v>21</v>
      </c>
      <c r="C27" s="295" t="s">
        <v>60</v>
      </c>
      <c r="D27" s="232" t="s">
        <v>79</v>
      </c>
      <c r="E27" s="232" t="s">
        <v>85</v>
      </c>
      <c r="F27" s="232" t="s">
        <v>87</v>
      </c>
      <c r="G27" s="295">
        <v>1</v>
      </c>
      <c r="H27" s="296" t="s">
        <v>1208</v>
      </c>
      <c r="I27" s="297" t="s">
        <v>1060</v>
      </c>
      <c r="J27" s="232" t="s">
        <v>838</v>
      </c>
      <c r="K27" s="233">
        <v>65000</v>
      </c>
      <c r="L27" s="284">
        <f>IF(K27&gt;=Datos!$D$14,(Datos!$D$14*Datos!$C$14),IF(K27&lt;=Datos!$D$14,(K27*Datos!$C$14)))</f>
        <v>1865.5</v>
      </c>
      <c r="M27" s="284">
        <f>IF(K27&gt;=Datos!$D$15,(Datos!$D$15*Datos!$C$15),IF(K27&lt;=Datos!$D$15,(K27*Datos!$C$15)))</f>
        <v>1976</v>
      </c>
      <c r="N27" s="231">
        <v>1715.46</v>
      </c>
      <c r="O27" s="231">
        <f t="shared" si="1"/>
        <v>59443.040000000001</v>
      </c>
      <c r="P27" s="223">
        <f>IF(O27&lt;=Datos!$G$7,"0",IF(O27&lt;=Datos!$G$8,(O27-Datos!$F$8)*Datos!$I$6,IF(O27&lt;=Datos!$G$9,Datos!$I$8+(O27-Datos!$F$9)*Datos!$J$6,IF(O27&gt;=Datos!$F$10,(Datos!$I$8+Datos!$J$8)+(O27-Datos!$F$10)*Datos!$K$6))))-W27</f>
        <v>4084.4836666666665</v>
      </c>
      <c r="Q27" s="231">
        <f>IFERROR(VLOOKUP(C27,[1]Hoja1!$D$5:$E$58,2,FALSE),0)</f>
        <v>0</v>
      </c>
      <c r="R27" s="234"/>
      <c r="S27" s="234"/>
      <c r="T27" s="234"/>
      <c r="U27" s="234"/>
      <c r="V27" s="234">
        <v>25</v>
      </c>
      <c r="W27" s="231"/>
      <c r="X27" s="234">
        <f t="shared" si="2"/>
        <v>9666.4436666666661</v>
      </c>
      <c r="Y27" s="234">
        <f t="shared" si="0"/>
        <v>55333.556333333334</v>
      </c>
      <c r="Z27" s="296" t="s">
        <v>99</v>
      </c>
      <c r="AA27" s="298">
        <v>44197</v>
      </c>
      <c r="AB27" s="235"/>
      <c r="AC27" s="264"/>
    </row>
    <row r="28" spans="1:29" s="236" customFormat="1" x14ac:dyDescent="0.25">
      <c r="A28" s="232"/>
      <c r="B28" s="302">
        <v>22</v>
      </c>
      <c r="C28" s="295" t="s">
        <v>1082</v>
      </c>
      <c r="D28" s="232" t="s">
        <v>1083</v>
      </c>
      <c r="E28" s="232" t="s">
        <v>85</v>
      </c>
      <c r="F28" s="232" t="s">
        <v>87</v>
      </c>
      <c r="G28" s="295">
        <v>5</v>
      </c>
      <c r="H28" s="296" t="s">
        <v>1210</v>
      </c>
      <c r="I28" s="297" t="s">
        <v>1067</v>
      </c>
      <c r="J28" s="232" t="s">
        <v>1084</v>
      </c>
      <c r="K28" s="233">
        <v>35000</v>
      </c>
      <c r="L28" s="284">
        <f>IF(K28&gt;=Datos!$D$14,(Datos!$D$14*Datos!$C$14),IF(K28&lt;=Datos!$D$14,(K28*Datos!$C$14)))</f>
        <v>1004.5</v>
      </c>
      <c r="M28" s="284">
        <f>IF(K28&gt;=Datos!$D$15,(Datos!$D$15*Datos!$C$15),IF(K28&lt;=Datos!$D$15,(K28*Datos!$C$15)))</f>
        <v>1064</v>
      </c>
      <c r="N28" s="231"/>
      <c r="O28" s="231">
        <f t="shared" si="1"/>
        <v>32931.5</v>
      </c>
      <c r="P28" s="223">
        <f>IF(O28&lt;=Datos!$G$7,"0",IF(O28&lt;=Datos!$G$8,(O28-Datos!$F$8)*Datos!$I$6,IF(O28&lt;=Datos!$G$9,Datos!$I$8+(O28-Datos!$F$9)*Datos!$J$6,IF(O28&gt;=Datos!$F$10,(Datos!$I$8+Datos!$J$8)+(O28-Datos!$F$10)*Datos!$K$6))))-W28</f>
        <v>0</v>
      </c>
      <c r="Q28" s="231">
        <f>IFERROR(VLOOKUP(C28,[1]Hoja1!$D$5:$E$58,2,FALSE),0)</f>
        <v>0</v>
      </c>
      <c r="R28" s="234"/>
      <c r="S28" s="234"/>
      <c r="T28" s="234"/>
      <c r="U28" s="234"/>
      <c r="V28" s="234">
        <v>25</v>
      </c>
      <c r="W28" s="231"/>
      <c r="X28" s="234">
        <f t="shared" si="2"/>
        <v>2093.5</v>
      </c>
      <c r="Y28" s="234">
        <f t="shared" si="0"/>
        <v>32906.5</v>
      </c>
      <c r="Z28" s="296"/>
      <c r="AA28" s="298">
        <v>44835</v>
      </c>
      <c r="AB28" s="235"/>
      <c r="AC28" s="264"/>
    </row>
    <row r="29" spans="1:29" s="236" customFormat="1" x14ac:dyDescent="0.25">
      <c r="A29" s="232"/>
      <c r="B29" s="302">
        <v>23</v>
      </c>
      <c r="C29" s="295" t="s">
        <v>876</v>
      </c>
      <c r="D29" s="232" t="s">
        <v>877</v>
      </c>
      <c r="E29" s="232" t="s">
        <v>85</v>
      </c>
      <c r="F29" s="232" t="s">
        <v>87</v>
      </c>
      <c r="G29" s="295">
        <v>1</v>
      </c>
      <c r="H29" s="296" t="s">
        <v>1379</v>
      </c>
      <c r="I29" s="297" t="s">
        <v>1062</v>
      </c>
      <c r="J29" s="232" t="s">
        <v>845</v>
      </c>
      <c r="K29" s="233">
        <f>17000+8000+1000</f>
        <v>26000</v>
      </c>
      <c r="L29" s="284">
        <f>IF(K29&gt;=Datos!$D$14,(Datos!$D$14*Datos!$C$14),IF(K29&lt;=Datos!$D$14,(K29*Datos!$C$14)))</f>
        <v>746.2</v>
      </c>
      <c r="M29" s="284">
        <f>IF(K29&gt;=Datos!$D$15,(Datos!$D$15*Datos!$C$15),IF(K29&lt;=Datos!$D$15,(K29*Datos!$C$15)))</f>
        <v>790.4</v>
      </c>
      <c r="N29" s="231"/>
      <c r="O29" s="231">
        <f t="shared" si="1"/>
        <v>24463.4</v>
      </c>
      <c r="P29" s="223">
        <f>IF(O29&lt;=Datos!$G$7,"0",IF(O29&lt;=Datos!$G$8,(O29-Datos!$F$8)*Datos!$I$6,IF(O29&lt;=Datos!$G$9,Datos!$I$8+(O29-Datos!$F$9)*Datos!$J$6,IF(O29&gt;=Datos!$F$10,(Datos!$I$8+Datos!$J$8)+(O29-Datos!$F$10)*Datos!$K$6))))-W29</f>
        <v>0</v>
      </c>
      <c r="Q29" s="231">
        <f>IFERROR(VLOOKUP(C29,[1]Hoja1!$D$5:$E$58,2,FALSE),0)</f>
        <v>0</v>
      </c>
      <c r="R29" s="234"/>
      <c r="S29" s="234"/>
      <c r="T29" s="234"/>
      <c r="U29" s="234"/>
      <c r="V29" s="234">
        <v>25</v>
      </c>
      <c r="W29" s="231"/>
      <c r="X29" s="234">
        <f t="shared" si="2"/>
        <v>1561.6</v>
      </c>
      <c r="Y29" s="234">
        <f t="shared" si="0"/>
        <v>24438.400000000001</v>
      </c>
      <c r="Z29" s="296" t="s">
        <v>881</v>
      </c>
      <c r="AA29" s="298"/>
      <c r="AB29" s="235"/>
      <c r="AC29" s="264"/>
    </row>
    <row r="30" spans="1:29" s="236" customFormat="1" x14ac:dyDescent="0.25">
      <c r="A30" s="232"/>
      <c r="B30" s="302">
        <v>24</v>
      </c>
      <c r="C30" s="295" t="s">
        <v>1741</v>
      </c>
      <c r="D30" s="232" t="s">
        <v>1742</v>
      </c>
      <c r="E30" s="232" t="s">
        <v>85</v>
      </c>
      <c r="F30" s="232" t="s">
        <v>87</v>
      </c>
      <c r="G30" s="295">
        <v>1</v>
      </c>
      <c r="H30" s="296" t="s">
        <v>1834</v>
      </c>
      <c r="I30" s="297" t="s">
        <v>1060</v>
      </c>
      <c r="J30" s="232" t="s">
        <v>933</v>
      </c>
      <c r="K30" s="233">
        <f>17000+8000+1000</f>
        <v>26000</v>
      </c>
      <c r="L30" s="284">
        <f>IF(K30&gt;=Datos!$D$14,(Datos!$D$14*Datos!$C$14),IF(K30&lt;=Datos!$D$14,(K30*Datos!$C$14)))</f>
        <v>746.2</v>
      </c>
      <c r="M30" s="284">
        <f>IF(K30&gt;=Datos!$D$15,(Datos!$D$15*Datos!$C$15),IF(K30&lt;=Datos!$D$15,(K30*Datos!$C$15)))</f>
        <v>790.4</v>
      </c>
      <c r="N30" s="231"/>
      <c r="O30" s="231">
        <f t="shared" si="1"/>
        <v>24463.4</v>
      </c>
      <c r="P30" s="223">
        <f>IF(O30&lt;=Datos!$G$7,"0",IF(O30&lt;=Datos!$G$8,(O30-Datos!$F$8)*Datos!$I$6,IF(O30&lt;=Datos!$G$9,Datos!$I$8+(O30-Datos!$F$9)*Datos!$J$6,IF(O30&gt;=Datos!$F$10,(Datos!$I$8+Datos!$J$8)+(O30-Datos!$F$10)*Datos!$K$6))))-W30</f>
        <v>0</v>
      </c>
      <c r="Q30" s="231">
        <f>IFERROR(VLOOKUP(C30,[1]Hoja1!$D$5:$E$58,2,FALSE),0)</f>
        <v>0</v>
      </c>
      <c r="R30" s="234"/>
      <c r="S30" s="234"/>
      <c r="T30" s="234"/>
      <c r="U30" s="234"/>
      <c r="V30" s="234">
        <v>25</v>
      </c>
      <c r="W30" s="231"/>
      <c r="X30" s="234">
        <f t="shared" si="2"/>
        <v>1561.6</v>
      </c>
      <c r="Y30" s="234">
        <f t="shared" si="0"/>
        <v>24438.400000000001</v>
      </c>
      <c r="Z30" s="296">
        <v>9607572588</v>
      </c>
      <c r="AA30" s="298">
        <v>45566</v>
      </c>
      <c r="AB30" s="235"/>
      <c r="AC30" s="264"/>
    </row>
    <row r="31" spans="1:29" s="236" customFormat="1" x14ac:dyDescent="0.25">
      <c r="A31" s="232"/>
      <c r="B31" s="302">
        <v>25</v>
      </c>
      <c r="C31" s="295" t="s">
        <v>62</v>
      </c>
      <c r="D31" s="232" t="s">
        <v>81</v>
      </c>
      <c r="E31" s="232" t="s">
        <v>85</v>
      </c>
      <c r="F31" s="232" t="s">
        <v>87</v>
      </c>
      <c r="G31" s="295">
        <v>4</v>
      </c>
      <c r="H31" s="296" t="s">
        <v>1211</v>
      </c>
      <c r="I31" s="297" t="s">
        <v>1061</v>
      </c>
      <c r="J31" s="232" t="s">
        <v>1300</v>
      </c>
      <c r="K31" s="233">
        <f>65018.43+24981.57</f>
        <v>90000</v>
      </c>
      <c r="L31" s="284">
        <f>IF(K31&gt;=Datos!$D$14,(Datos!$D$14*Datos!$C$14),IF(K31&lt;=Datos!$D$14,(K31*Datos!$C$14)))</f>
        <v>2583</v>
      </c>
      <c r="M31" s="284">
        <f>IF(K31&gt;=Datos!$D$15,(Datos!$D$15*Datos!$C$15),IF(K31&lt;=Datos!$D$15,(K31*Datos!$C$15)))</f>
        <v>2736</v>
      </c>
      <c r="N31" s="231"/>
      <c r="O31" s="231">
        <f t="shared" si="1"/>
        <v>84681</v>
      </c>
      <c r="P31" s="223">
        <f>IF(O31&lt;=Datos!$G$7,"0",IF(O31&lt;=Datos!$G$8,(O31-Datos!$F$8)*Datos!$I$6,IF(O31&lt;=Datos!$G$9,Datos!$I$8+(O31-Datos!$F$9)*Datos!$J$6,IF(O31&gt;=Datos!$F$10,(Datos!$I$8+Datos!$J$8)+(O31-Datos!$F$10)*Datos!$K$6))))-W31</f>
        <v>9753.1106666666674</v>
      </c>
      <c r="Q31" s="231">
        <f>IFERROR(VLOOKUP(C31,[1]Hoja1!$D$5:$E$58,2,FALSE),0)</f>
        <v>0</v>
      </c>
      <c r="R31" s="234"/>
      <c r="S31" s="234"/>
      <c r="T31" s="234"/>
      <c r="U31" s="234"/>
      <c r="V31" s="234">
        <v>25</v>
      </c>
      <c r="W31" s="231"/>
      <c r="X31" s="234">
        <f t="shared" si="2"/>
        <v>15097.110666666667</v>
      </c>
      <c r="Y31" s="234">
        <f t="shared" si="0"/>
        <v>74902.889333333325</v>
      </c>
      <c r="Z31" s="296" t="s">
        <v>101</v>
      </c>
      <c r="AA31" s="298">
        <v>40238</v>
      </c>
      <c r="AB31" s="235"/>
      <c r="AC31" s="264"/>
    </row>
    <row r="32" spans="1:29" s="236" customFormat="1" x14ac:dyDescent="0.25">
      <c r="A32" s="232"/>
      <c r="B32" s="302">
        <v>26</v>
      </c>
      <c r="C32" s="295" t="s">
        <v>1361</v>
      </c>
      <c r="D32" s="232" t="s">
        <v>1380</v>
      </c>
      <c r="E32" s="232" t="s">
        <v>85</v>
      </c>
      <c r="F32" s="232" t="s">
        <v>87</v>
      </c>
      <c r="G32" s="295">
        <v>5</v>
      </c>
      <c r="H32" s="296" t="s">
        <v>1383</v>
      </c>
      <c r="I32" s="297" t="s">
        <v>1067</v>
      </c>
      <c r="J32" s="232" t="s">
        <v>960</v>
      </c>
      <c r="K32" s="233">
        <v>60000</v>
      </c>
      <c r="L32" s="284">
        <f>IF(K32&gt;=Datos!$D$14,(Datos!$D$14*Datos!$C$14),IF(K32&lt;=Datos!$D$14,(K32*Datos!$C$14)))</f>
        <v>1722</v>
      </c>
      <c r="M32" s="284">
        <f>IF(K32&gt;=Datos!$D$15,(Datos!$D$15*Datos!$C$15),IF(K32&lt;=Datos!$D$15,(K32*Datos!$C$15)))</f>
        <v>1824</v>
      </c>
      <c r="N32" s="231"/>
      <c r="O32" s="231">
        <f t="shared" si="1"/>
        <v>56454</v>
      </c>
      <c r="P32" s="223">
        <f>IF(O32&lt;=Datos!$G$7,"0",IF(O32&lt;=Datos!$G$8,(O32-Datos!$F$8)*Datos!$I$6,IF(O32&lt;=Datos!$G$9,Datos!$I$8+(O32-Datos!$F$9)*Datos!$J$6,IF(O32&gt;=Datos!$F$10,(Datos!$I$8+Datos!$J$8)+(O32-Datos!$F$10)*Datos!$K$6))))-W32</f>
        <v>3486.6756666666661</v>
      </c>
      <c r="Q32" s="231"/>
      <c r="R32" s="234"/>
      <c r="S32" s="234"/>
      <c r="T32" s="234"/>
      <c r="U32" s="234"/>
      <c r="V32" s="234">
        <v>25</v>
      </c>
      <c r="W32" s="231"/>
      <c r="X32" s="234">
        <f t="shared" si="2"/>
        <v>7057.6756666666661</v>
      </c>
      <c r="Y32" s="234">
        <f t="shared" si="0"/>
        <v>52942.324333333338</v>
      </c>
      <c r="Z32" s="296">
        <v>9606252871</v>
      </c>
      <c r="AA32" s="298">
        <v>45200</v>
      </c>
      <c r="AB32" s="235"/>
      <c r="AC32" s="264"/>
    </row>
    <row r="33" spans="1:29" s="236" customFormat="1" x14ac:dyDescent="0.25">
      <c r="A33" s="232"/>
      <c r="B33" s="302">
        <v>27</v>
      </c>
      <c r="C33" s="295" t="s">
        <v>63</v>
      </c>
      <c r="D33" s="232" t="s">
        <v>82</v>
      </c>
      <c r="E33" s="232" t="s">
        <v>85</v>
      </c>
      <c r="F33" s="232" t="s">
        <v>87</v>
      </c>
      <c r="G33" s="295">
        <v>4</v>
      </c>
      <c r="H33" s="296" t="s">
        <v>1211</v>
      </c>
      <c r="I33" s="297" t="s">
        <v>1062</v>
      </c>
      <c r="J33" s="232" t="s">
        <v>839</v>
      </c>
      <c r="K33" s="233">
        <v>65000</v>
      </c>
      <c r="L33" s="284">
        <f>IF(K33&gt;=Datos!$D$14,(Datos!$D$14*Datos!$C$14),IF(K33&lt;=Datos!$D$14,(K33*Datos!$C$14)))</f>
        <v>1865.5</v>
      </c>
      <c r="M33" s="284">
        <f>IF(K33&gt;=Datos!$D$15,(Datos!$D$15*Datos!$C$15),IF(K33&lt;=Datos!$D$15,(K33*Datos!$C$15)))</f>
        <v>1976</v>
      </c>
      <c r="N33" s="231"/>
      <c r="O33" s="231">
        <f t="shared" si="1"/>
        <v>61158.5</v>
      </c>
      <c r="P33" s="223">
        <f>IF(O33&lt;=Datos!$G$7,"0",IF(O33&lt;=Datos!$G$8,(O33-Datos!$F$8)*Datos!$I$6,IF(O33&lt;=Datos!$G$9,Datos!$I$8+(O33-Datos!$F$9)*Datos!$J$6,IF(O33&gt;=Datos!$F$10,(Datos!$I$8+Datos!$J$8)+(O33-Datos!$F$10)*Datos!$K$6))))-W33</f>
        <v>4427.5756666666657</v>
      </c>
      <c r="Q33" s="231">
        <f>IFERROR(VLOOKUP(C33,[1]Hoja1!$D$5:$E$58,2,FALSE),0)</f>
        <v>0</v>
      </c>
      <c r="R33" s="234"/>
      <c r="S33" s="234"/>
      <c r="T33" s="234"/>
      <c r="U33" s="234"/>
      <c r="V33" s="234">
        <v>25</v>
      </c>
      <c r="W33" s="231"/>
      <c r="X33" s="234">
        <f t="shared" si="2"/>
        <v>8294.0756666666657</v>
      </c>
      <c r="Y33" s="234">
        <f t="shared" si="0"/>
        <v>56705.924333333336</v>
      </c>
      <c r="Z33" s="296" t="s">
        <v>102</v>
      </c>
      <c r="AA33" s="298">
        <v>39600</v>
      </c>
      <c r="AB33" s="235"/>
      <c r="AC33" s="264"/>
    </row>
    <row r="34" spans="1:29" s="236" customFormat="1" x14ac:dyDescent="0.25">
      <c r="A34" s="232"/>
      <c r="B34" s="302">
        <v>28</v>
      </c>
      <c r="C34" s="295" t="s">
        <v>1850</v>
      </c>
      <c r="D34" s="232" t="s">
        <v>1866</v>
      </c>
      <c r="E34" s="232" t="s">
        <v>85</v>
      </c>
      <c r="F34" s="232" t="s">
        <v>87</v>
      </c>
      <c r="G34" s="295">
        <v>1</v>
      </c>
      <c r="H34" s="296" t="s">
        <v>1548</v>
      </c>
      <c r="I34" s="297" t="s">
        <v>1710</v>
      </c>
      <c r="J34" s="232" t="s">
        <v>833</v>
      </c>
      <c r="K34" s="233">
        <v>17500</v>
      </c>
      <c r="L34" s="284">
        <f>IF(K34&gt;=Datos!$D$14,(Datos!$D$14*Datos!$C$14),IF(K34&lt;=Datos!$D$14,(K34*Datos!$C$14)))</f>
        <v>502.25</v>
      </c>
      <c r="M34" s="284">
        <f>IF(K34&gt;=Datos!$D$15,(Datos!$D$15*Datos!$C$15),IF(K34&lt;=Datos!$D$15,(K34*Datos!$C$15)))</f>
        <v>532</v>
      </c>
      <c r="N34" s="231"/>
      <c r="O34" s="231">
        <f t="shared" ref="O34" si="3">K34-(L34+M34+N34)</f>
        <v>16465.75</v>
      </c>
      <c r="P34" s="223">
        <f>IF(O34&lt;=Datos!$G$7,"0",IF(O34&lt;=Datos!$G$8,(O34-Datos!$F$8)*Datos!$I$6,IF(O34&lt;=Datos!$G$9,Datos!$I$8+(O34-Datos!$F$9)*Datos!$J$6,IF(O34&gt;=Datos!$F$10,(Datos!$I$8+Datos!$J$8)+(O34-Datos!$F$10)*Datos!$K$6))))-W34</f>
        <v>0</v>
      </c>
      <c r="Q34" s="231"/>
      <c r="R34" s="234"/>
      <c r="S34" s="234"/>
      <c r="T34" s="234"/>
      <c r="U34" s="234"/>
      <c r="V34" s="234">
        <v>25</v>
      </c>
      <c r="W34" s="231"/>
      <c r="X34" s="234">
        <f t="shared" ref="X34" si="4">SUM(P34:V34)+(L34+M34+N34)-W34</f>
        <v>1059.25</v>
      </c>
      <c r="Y34" s="234">
        <f t="shared" ref="Y34" si="5">+K34-X34</f>
        <v>16440.75</v>
      </c>
      <c r="Z34" s="296">
        <v>9607759046</v>
      </c>
      <c r="AA34" s="298">
        <v>45627</v>
      </c>
      <c r="AB34" s="235"/>
      <c r="AC34" s="264"/>
    </row>
    <row r="35" spans="1:29" s="236" customFormat="1" x14ac:dyDescent="0.25">
      <c r="A35" s="232"/>
      <c r="B35" s="302">
        <v>29</v>
      </c>
      <c r="C35" s="295" t="s">
        <v>1739</v>
      </c>
      <c r="D35" s="232" t="s">
        <v>1740</v>
      </c>
      <c r="E35" s="232" t="s">
        <v>85</v>
      </c>
      <c r="F35" s="232" t="s">
        <v>87</v>
      </c>
      <c r="G35" s="295">
        <v>1</v>
      </c>
      <c r="H35" s="296" t="s">
        <v>1548</v>
      </c>
      <c r="I35" s="297" t="s">
        <v>1067</v>
      </c>
      <c r="J35" s="232" t="s">
        <v>833</v>
      </c>
      <c r="K35" s="233">
        <v>17500</v>
      </c>
      <c r="L35" s="284">
        <f>IF(K35&gt;=Datos!$D$14,(Datos!$D$14*Datos!$C$14),IF(K35&lt;=Datos!$D$14,(K35*Datos!$C$14)))</f>
        <v>502.25</v>
      </c>
      <c r="M35" s="284">
        <f>IF(K35&gt;=Datos!$D$15,(Datos!$D$15*Datos!$C$15),IF(K35&lt;=Datos!$D$15,(K35*Datos!$C$15)))</f>
        <v>532</v>
      </c>
      <c r="N35" s="231"/>
      <c r="O35" s="231">
        <f t="shared" si="1"/>
        <v>16465.75</v>
      </c>
      <c r="P35" s="223">
        <f>IF(O35&lt;=Datos!$G$7,"0",IF(O35&lt;=Datos!$G$8,(O35-Datos!$F$8)*Datos!$I$6,IF(O35&lt;=Datos!$G$9,Datos!$I$8+(O35-Datos!$F$9)*Datos!$J$6,IF(O35&gt;=Datos!$F$10,(Datos!$I$8+Datos!$J$8)+(O35-Datos!$F$10)*Datos!$K$6))))-W35</f>
        <v>0</v>
      </c>
      <c r="Q35" s="231">
        <f>IFERROR(VLOOKUP(C35,[1]Hoja1!$D$5:$E$58,2,FALSE),0)</f>
        <v>0</v>
      </c>
      <c r="R35" s="234"/>
      <c r="S35" s="234"/>
      <c r="T35" s="234"/>
      <c r="U35" s="234"/>
      <c r="V35" s="234">
        <v>25</v>
      </c>
      <c r="W35" s="231"/>
      <c r="X35" s="234">
        <f t="shared" si="2"/>
        <v>1059.25</v>
      </c>
      <c r="Y35" s="234">
        <f t="shared" si="0"/>
        <v>16440.75</v>
      </c>
      <c r="Z35" s="296">
        <v>9607572587</v>
      </c>
      <c r="AA35" s="298">
        <v>45566</v>
      </c>
      <c r="AB35" s="235"/>
      <c r="AC35" s="264"/>
    </row>
    <row r="36" spans="1:29" s="236" customFormat="1" x14ac:dyDescent="0.25">
      <c r="A36" s="232"/>
      <c r="B36" s="302">
        <v>30</v>
      </c>
      <c r="C36" s="295" t="s">
        <v>64</v>
      </c>
      <c r="D36" s="232" t="s">
        <v>83</v>
      </c>
      <c r="E36" s="232" t="s">
        <v>85</v>
      </c>
      <c r="F36" s="232" t="s">
        <v>87</v>
      </c>
      <c r="G36" s="295">
        <v>1</v>
      </c>
      <c r="H36" s="296" t="s">
        <v>1379</v>
      </c>
      <c r="I36" s="297" t="s">
        <v>1067</v>
      </c>
      <c r="J36" s="232" t="s">
        <v>922</v>
      </c>
      <c r="K36" s="233">
        <f>29400+8600</f>
        <v>38000</v>
      </c>
      <c r="L36" s="284">
        <f>IF(K36&gt;=Datos!$D$14,(Datos!$D$14*Datos!$C$14),IF(K36&lt;=Datos!$D$14,(K36*Datos!$C$14)))</f>
        <v>1090.5999999999999</v>
      </c>
      <c r="M36" s="284">
        <f>IF(K36&gt;=Datos!$D$15,(Datos!$D$15*Datos!$C$15),IF(K36&lt;=Datos!$D$15,(K36*Datos!$C$15)))</f>
        <v>1155.2</v>
      </c>
      <c r="N36" s="231">
        <v>1715.46</v>
      </c>
      <c r="O36" s="231">
        <f t="shared" si="1"/>
        <v>34038.74</v>
      </c>
      <c r="P36" s="223">
        <f>IF(O36&lt;=Datos!$G$7,"0",IF(O36&lt;=Datos!$G$8,(O36-Datos!$F$8)*Datos!$I$6,IF(O36&lt;=Datos!$G$9,Datos!$I$8+(O36-Datos!$F$9)*Datos!$J$6,IF(O36&gt;=Datos!$F$10,(Datos!$I$8+Datos!$J$8)+(O36-Datos!$F$10)*Datos!$K$6))))-W36</f>
        <v>0</v>
      </c>
      <c r="Q36" s="231">
        <f>IFERROR(VLOOKUP(C36,[1]Hoja1!$D$5:$E$58,2,FALSE),0)</f>
        <v>0</v>
      </c>
      <c r="R36" s="234"/>
      <c r="S36" s="234"/>
      <c r="T36" s="234"/>
      <c r="U36" s="234"/>
      <c r="V36" s="234">
        <v>25</v>
      </c>
      <c r="W36" s="231"/>
      <c r="X36" s="234">
        <f t="shared" si="2"/>
        <v>3986.26</v>
      </c>
      <c r="Y36" s="234">
        <f t="shared" si="0"/>
        <v>34013.74</v>
      </c>
      <c r="Z36" s="296" t="s">
        <v>103</v>
      </c>
      <c r="AA36" s="298">
        <v>44197</v>
      </c>
      <c r="AB36" s="235"/>
      <c r="AC36" s="264"/>
    </row>
    <row r="37" spans="1:29" s="236" customFormat="1" x14ac:dyDescent="0.25">
      <c r="A37" s="232"/>
      <c r="B37" s="302">
        <v>31</v>
      </c>
      <c r="C37" s="295" t="s">
        <v>65</v>
      </c>
      <c r="D37" s="232" t="s">
        <v>84</v>
      </c>
      <c r="E37" s="232" t="s">
        <v>85</v>
      </c>
      <c r="F37" s="232" t="s">
        <v>87</v>
      </c>
      <c r="G37" s="295">
        <v>1</v>
      </c>
      <c r="H37" s="296" t="s">
        <v>1636</v>
      </c>
      <c r="I37" s="297" t="s">
        <v>1061</v>
      </c>
      <c r="J37" s="232" t="s">
        <v>841</v>
      </c>
      <c r="K37" s="233">
        <v>26000</v>
      </c>
      <c r="L37" s="284">
        <f>IF(K37&gt;=Datos!$D$14,(Datos!$D$14*Datos!$C$14),IF(K37&lt;=Datos!$D$14,(K37*Datos!$C$14)))</f>
        <v>746.2</v>
      </c>
      <c r="M37" s="284">
        <f>IF(K37&gt;=Datos!$D$15,(Datos!$D$15*Datos!$C$15),IF(K37&lt;=Datos!$D$15,(K37*Datos!$C$15)))</f>
        <v>790.4</v>
      </c>
      <c r="N37" s="231"/>
      <c r="O37" s="231">
        <f t="shared" si="1"/>
        <v>24463.4</v>
      </c>
      <c r="P37" s="223">
        <f>IF(O37&lt;=Datos!$G$7,"0",IF(O37&lt;=Datos!$G$8,(O37-Datos!$F$8)*Datos!$I$6,IF(O37&lt;=Datos!$G$9,Datos!$I$8+(O37-Datos!$F$9)*Datos!$J$6,IF(O37&gt;=Datos!$F$10,(Datos!$I$8+Datos!$J$8)+(O37-Datos!$F$10)*Datos!$K$6))))-W37</f>
        <v>0</v>
      </c>
      <c r="Q37" s="231">
        <f>IFERROR(VLOOKUP(C37,[1]Hoja1!$D$5:$E$58,2,FALSE),0)</f>
        <v>0</v>
      </c>
      <c r="R37" s="234"/>
      <c r="S37" s="234"/>
      <c r="T37" s="234"/>
      <c r="U37" s="234"/>
      <c r="V37" s="234">
        <v>25</v>
      </c>
      <c r="W37" s="231"/>
      <c r="X37" s="234">
        <f t="shared" si="2"/>
        <v>1561.6</v>
      </c>
      <c r="Y37" s="234">
        <f t="shared" si="0"/>
        <v>24438.400000000001</v>
      </c>
      <c r="Z37" s="296" t="s">
        <v>104</v>
      </c>
      <c r="AA37" s="298">
        <v>44410</v>
      </c>
      <c r="AB37" s="235"/>
      <c r="AC37" s="264"/>
    </row>
    <row r="38" spans="1:29" s="236" customFormat="1" x14ac:dyDescent="0.25">
      <c r="A38" s="232"/>
      <c r="B38" s="302">
        <v>32</v>
      </c>
      <c r="C38" s="295" t="s">
        <v>346</v>
      </c>
      <c r="D38" s="232" t="s">
        <v>586</v>
      </c>
      <c r="E38" s="232" t="s">
        <v>85</v>
      </c>
      <c r="F38" s="232" t="s">
        <v>87</v>
      </c>
      <c r="G38" s="295">
        <v>1</v>
      </c>
      <c r="H38" s="296" t="s">
        <v>1548</v>
      </c>
      <c r="I38" s="297" t="s">
        <v>1061</v>
      </c>
      <c r="J38" s="232" t="s">
        <v>833</v>
      </c>
      <c r="K38" s="233">
        <f>13860+4140</f>
        <v>18000</v>
      </c>
      <c r="L38" s="284">
        <f>IF(K38&gt;=Datos!$D$14,(Datos!$D$14*Datos!$C$14),IF(K38&lt;=Datos!$D$14,(K38*Datos!$C$14)))</f>
        <v>516.6</v>
      </c>
      <c r="M38" s="284">
        <f>IF(K38&gt;=Datos!$D$15,(Datos!$D$15*Datos!$C$15),IF(K38&lt;=Datos!$D$15,(K38*Datos!$C$15)))</f>
        <v>547.20000000000005</v>
      </c>
      <c r="N38" s="231"/>
      <c r="O38" s="231">
        <f t="shared" si="1"/>
        <v>16936.2</v>
      </c>
      <c r="P38" s="223">
        <f>IF(O38&lt;=Datos!$G$7,"0",IF(O38&lt;=Datos!$G$8,(O38-Datos!$F$8)*Datos!$I$6,IF(O38&lt;=Datos!$G$9,Datos!$I$8+(O38-Datos!$F$9)*Datos!$J$6,IF(O38&gt;=Datos!$F$10,(Datos!$I$8+Datos!$J$8)+(O38-Datos!$F$10)*Datos!$K$6))))-W38</f>
        <v>0</v>
      </c>
      <c r="Q38" s="231">
        <v>4573.42</v>
      </c>
      <c r="R38" s="234"/>
      <c r="S38" s="234"/>
      <c r="T38" s="234"/>
      <c r="U38" s="234"/>
      <c r="V38" s="234">
        <v>25</v>
      </c>
      <c r="W38" s="231"/>
      <c r="X38" s="234">
        <f t="shared" si="2"/>
        <v>5662.22</v>
      </c>
      <c r="Y38" s="234">
        <f t="shared" si="0"/>
        <v>12337.779999999999</v>
      </c>
      <c r="Z38" s="296" t="s">
        <v>105</v>
      </c>
      <c r="AA38" s="298">
        <v>44197</v>
      </c>
      <c r="AB38" s="235"/>
      <c r="AC38" s="264"/>
    </row>
    <row r="39" spans="1:29" s="236" customFormat="1" x14ac:dyDescent="0.25">
      <c r="A39" s="232"/>
      <c r="B39" s="302">
        <v>33</v>
      </c>
      <c r="C39" s="295" t="s">
        <v>1179</v>
      </c>
      <c r="D39" s="232" t="s">
        <v>1180</v>
      </c>
      <c r="E39" s="232" t="s">
        <v>85</v>
      </c>
      <c r="F39" s="232" t="s">
        <v>87</v>
      </c>
      <c r="G39" s="295">
        <v>4</v>
      </c>
      <c r="H39" s="296" t="s">
        <v>1662</v>
      </c>
      <c r="I39" s="297" t="s">
        <v>1067</v>
      </c>
      <c r="J39" s="232" t="s">
        <v>1273</v>
      </c>
      <c r="K39" s="233">
        <f>39571.35+20428.65</f>
        <v>60000</v>
      </c>
      <c r="L39" s="284">
        <f>IF(K39&gt;=Datos!$D$14,(Datos!$D$14*Datos!$C$14),IF(K39&lt;=Datos!$D$14,(K39*Datos!$C$14)))</f>
        <v>1722</v>
      </c>
      <c r="M39" s="284">
        <f>IF(K39&gt;=Datos!$D$15,(Datos!$D$15*Datos!$C$15),IF(K39&lt;=Datos!$D$15,(K39*Datos!$C$15)))</f>
        <v>1824</v>
      </c>
      <c r="N39" s="231"/>
      <c r="O39" s="231">
        <f t="shared" si="1"/>
        <v>56454</v>
      </c>
      <c r="P39" s="223">
        <f>IF(O39&lt;=Datos!$G$7,"0",IF(O39&lt;=Datos!$G$8,(O39-Datos!$F$8)*Datos!$I$6,IF(O39&lt;=Datos!$G$9,Datos!$I$8+(O39-Datos!$F$9)*Datos!$J$6,IF(O39&gt;=Datos!$F$10,(Datos!$I$8+Datos!$J$8)+(O39-Datos!$F$10)*Datos!$K$6))))-W39</f>
        <v>3486.6756666666661</v>
      </c>
      <c r="Q39" s="231">
        <f>IFERROR(VLOOKUP(C39,[1]Hoja1!$D$5:$E$58,2,FALSE),0)</f>
        <v>0</v>
      </c>
      <c r="R39" s="234"/>
      <c r="S39" s="234"/>
      <c r="T39" s="234"/>
      <c r="U39" s="234"/>
      <c r="V39" s="234">
        <v>25</v>
      </c>
      <c r="W39" s="231"/>
      <c r="X39" s="234">
        <f t="shared" si="2"/>
        <v>7057.6756666666661</v>
      </c>
      <c r="Y39" s="234">
        <f t="shared" si="0"/>
        <v>52942.324333333338</v>
      </c>
      <c r="Z39" s="296"/>
      <c r="AA39" s="298">
        <v>44927</v>
      </c>
      <c r="AB39" s="235"/>
      <c r="AC39" s="264"/>
    </row>
    <row r="40" spans="1:29" s="236" customFormat="1" x14ac:dyDescent="0.25">
      <c r="A40" s="232"/>
      <c r="B40" s="302">
        <v>34</v>
      </c>
      <c r="C40" s="295" t="s">
        <v>964</v>
      </c>
      <c r="D40" s="232" t="s">
        <v>965</v>
      </c>
      <c r="E40" s="232" t="s">
        <v>85</v>
      </c>
      <c r="F40" s="232" t="s">
        <v>87</v>
      </c>
      <c r="G40" s="295">
        <v>5</v>
      </c>
      <c r="H40" s="296" t="s">
        <v>1210</v>
      </c>
      <c r="I40" s="297" t="s">
        <v>1060</v>
      </c>
      <c r="J40" s="232" t="s">
        <v>944</v>
      </c>
      <c r="K40" s="233">
        <f>35000+25000</f>
        <v>60000</v>
      </c>
      <c r="L40" s="284">
        <f>IF(K40&gt;=Datos!$D$14,(Datos!$D$14*Datos!$C$14),IF(K40&lt;=Datos!$D$14,(K40*Datos!$C$14)))</f>
        <v>1722</v>
      </c>
      <c r="M40" s="284">
        <f>IF(K40&gt;=Datos!$D$15,(Datos!$D$15*Datos!$C$15),IF(K40&lt;=Datos!$D$15,(K40*Datos!$C$15)))</f>
        <v>1824</v>
      </c>
      <c r="N40" s="231"/>
      <c r="O40" s="231">
        <f t="shared" si="1"/>
        <v>56454</v>
      </c>
      <c r="P40" s="223">
        <f>IF(O40&lt;=Datos!$G$7,"0",IF(O40&lt;=Datos!$G$8,(O40-Datos!$F$8)*Datos!$I$6,IF(O40&lt;=Datos!$G$9,Datos!$I$8+(O40-Datos!$F$9)*Datos!$J$6,IF(O40&gt;=Datos!$F$10,(Datos!$I$8+Datos!$J$8)+(O40-Datos!$F$10)*Datos!$K$6))))-W40</f>
        <v>3486.6756666666661</v>
      </c>
      <c r="Q40" s="231">
        <f>IFERROR(VLOOKUP(C40,[1]Hoja1!$D$5:$E$58,2,FALSE),0)</f>
        <v>0</v>
      </c>
      <c r="R40" s="234"/>
      <c r="S40" s="234"/>
      <c r="T40" s="234"/>
      <c r="U40" s="234"/>
      <c r="V40" s="234">
        <v>25</v>
      </c>
      <c r="W40" s="231"/>
      <c r="X40" s="234">
        <f t="shared" si="2"/>
        <v>7057.6756666666661</v>
      </c>
      <c r="Y40" s="234">
        <f t="shared" si="0"/>
        <v>52942.324333333338</v>
      </c>
      <c r="Z40" s="296"/>
      <c r="AA40" s="298">
        <v>44713</v>
      </c>
      <c r="AB40" s="235"/>
      <c r="AC40" s="264"/>
    </row>
    <row r="41" spans="1:29" s="236" customFormat="1" x14ac:dyDescent="0.25">
      <c r="A41" s="232"/>
      <c r="B41" s="302">
        <v>35</v>
      </c>
      <c r="C41" s="295" t="s">
        <v>1730</v>
      </c>
      <c r="D41" s="232" t="s">
        <v>1731</v>
      </c>
      <c r="E41" s="232" t="s">
        <v>86</v>
      </c>
      <c r="F41" s="232" t="s">
        <v>87</v>
      </c>
      <c r="G41" s="295">
        <v>1</v>
      </c>
      <c r="H41" s="296" t="s">
        <v>1379</v>
      </c>
      <c r="I41" s="297" t="s">
        <v>1061</v>
      </c>
      <c r="J41" s="232" t="s">
        <v>1474</v>
      </c>
      <c r="K41" s="233">
        <v>26000</v>
      </c>
      <c r="L41" s="284">
        <f>IF(K41&gt;=Datos!$D$14,(Datos!$D$14*Datos!$C$14),IF(K41&lt;=Datos!$D$14,(K41*Datos!$C$14)))</f>
        <v>746.2</v>
      </c>
      <c r="M41" s="284">
        <f>IF(K41&gt;=Datos!$D$15,(Datos!$D$15*Datos!$C$15),IF(K41&lt;=Datos!$D$15,(K41*Datos!$C$15)))</f>
        <v>790.4</v>
      </c>
      <c r="N41" s="231"/>
      <c r="O41" s="231">
        <f t="shared" si="1"/>
        <v>24463.4</v>
      </c>
      <c r="P41" s="223">
        <f>IF(O41&lt;=Datos!$G$7,"0",IF(O41&lt;=Datos!$G$8,(O41-Datos!$F$8)*Datos!$I$6,IF(O41&lt;=Datos!$G$9,Datos!$I$8+(O41-Datos!$F$9)*Datos!$J$6,IF(O41&gt;=Datos!$F$10,(Datos!$I$8+Datos!$J$8)+(O41-Datos!$F$10)*Datos!$K$6))))-W41</f>
        <v>0</v>
      </c>
      <c r="Q41" s="231">
        <f>IFERROR(VLOOKUP(C41,[1]Hoja1!$D$5:$E$58,2,FALSE),0)</f>
        <v>0</v>
      </c>
      <c r="R41" s="234"/>
      <c r="S41" s="234"/>
      <c r="T41" s="234"/>
      <c r="U41" s="234"/>
      <c r="V41" s="234">
        <v>25</v>
      </c>
      <c r="W41" s="231"/>
      <c r="X41" s="234">
        <f t="shared" si="2"/>
        <v>1561.6</v>
      </c>
      <c r="Y41" s="234">
        <f t="shared" si="0"/>
        <v>24438.400000000001</v>
      </c>
      <c r="Z41" s="296">
        <v>9607572584</v>
      </c>
      <c r="AA41" s="298">
        <v>45566</v>
      </c>
      <c r="AB41" s="235"/>
      <c r="AC41" s="264"/>
    </row>
    <row r="42" spans="1:29" s="236" customFormat="1" x14ac:dyDescent="0.25">
      <c r="A42" s="232"/>
      <c r="B42" s="302">
        <v>36</v>
      </c>
      <c r="C42" s="295" t="s">
        <v>1363</v>
      </c>
      <c r="D42" s="232" t="s">
        <v>1381</v>
      </c>
      <c r="E42" s="232" t="s">
        <v>85</v>
      </c>
      <c r="F42" s="232" t="s">
        <v>87</v>
      </c>
      <c r="G42" s="295">
        <v>4</v>
      </c>
      <c r="H42" s="296" t="s">
        <v>1211</v>
      </c>
      <c r="I42" s="297" t="s">
        <v>1067</v>
      </c>
      <c r="J42" s="232" t="s">
        <v>863</v>
      </c>
      <c r="K42" s="233">
        <v>35000</v>
      </c>
      <c r="L42" s="284">
        <f>IF(K42&gt;=Datos!$D$14,(Datos!$D$14*Datos!$C$14),IF(K42&lt;=Datos!$D$14,(K42*Datos!$C$14)))</f>
        <v>1004.5</v>
      </c>
      <c r="M42" s="284">
        <f>IF(K42&gt;=Datos!$D$15,(Datos!$D$15*Datos!$C$15),IF(K42&lt;=Datos!$D$15,(K42*Datos!$C$15)))</f>
        <v>1064</v>
      </c>
      <c r="N42" s="231"/>
      <c r="O42" s="231">
        <f t="shared" si="1"/>
        <v>32931.5</v>
      </c>
      <c r="P42" s="223">
        <f>IF(O42&lt;=Datos!$G$7,"0",IF(O42&lt;=Datos!$G$8,(O42-Datos!$F$8)*Datos!$I$6,IF(O42&lt;=Datos!$G$9,Datos!$I$8+(O42-Datos!$F$9)*Datos!$J$6,IF(O42&gt;=Datos!$F$10,(Datos!$I$8+Datos!$J$8)+(O42-Datos!$F$10)*Datos!$K$6))))-W42</f>
        <v>0</v>
      </c>
      <c r="Q42" s="231">
        <f>IFERROR(VLOOKUP(C42,[1]Hoja1!$D$5:$E$58,2,FALSE),0)</f>
        <v>0</v>
      </c>
      <c r="R42" s="234"/>
      <c r="S42" s="234"/>
      <c r="T42" s="234"/>
      <c r="U42" s="234"/>
      <c r="V42" s="234">
        <v>25</v>
      </c>
      <c r="W42" s="231"/>
      <c r="X42" s="234">
        <f t="shared" si="2"/>
        <v>2093.5</v>
      </c>
      <c r="Y42" s="234">
        <f t="shared" si="0"/>
        <v>32906.5</v>
      </c>
      <c r="Z42" s="296">
        <v>9606252888</v>
      </c>
      <c r="AA42" s="298">
        <v>45200</v>
      </c>
      <c r="AB42" s="235"/>
      <c r="AC42" s="264"/>
    </row>
    <row r="43" spans="1:29" s="236" customFormat="1" x14ac:dyDescent="0.25">
      <c r="A43" s="232"/>
      <c r="B43" s="302">
        <v>37</v>
      </c>
      <c r="C43" s="295" t="s">
        <v>1465</v>
      </c>
      <c r="D43" s="232" t="s">
        <v>1466</v>
      </c>
      <c r="E43" s="232" t="s">
        <v>85</v>
      </c>
      <c r="F43" s="232" t="s">
        <v>87</v>
      </c>
      <c r="G43" s="295">
        <v>5</v>
      </c>
      <c r="H43" s="296" t="s">
        <v>1662</v>
      </c>
      <c r="I43" s="297" t="s">
        <v>1067</v>
      </c>
      <c r="J43" s="232" t="s">
        <v>1562</v>
      </c>
      <c r="K43" s="233">
        <v>60000</v>
      </c>
      <c r="L43" s="284">
        <f>IF(K43&gt;=Datos!$D$14,(Datos!$D$14*Datos!$C$14),IF(K43&lt;=Datos!$D$14,(K43*Datos!$C$14)))</f>
        <v>1722</v>
      </c>
      <c r="M43" s="284">
        <f>IF(K43&gt;=Datos!$D$15,(Datos!$D$15*Datos!$C$15),IF(K43&lt;=Datos!$D$15,(K43*Datos!$C$15)))</f>
        <v>1824</v>
      </c>
      <c r="N43" s="231"/>
      <c r="O43" s="231">
        <f t="shared" si="1"/>
        <v>56454</v>
      </c>
      <c r="P43" s="223">
        <f>IF(O43&lt;=Datos!$G$7,"0",IF(O43&lt;=Datos!$G$8,(O43-Datos!$F$8)*Datos!$I$6,IF(O43&lt;=Datos!$G$9,Datos!$I$8+(O43-Datos!$F$9)*Datos!$J$6,IF(O43&gt;=Datos!$F$10,(Datos!$I$8+Datos!$J$8)+(O43-Datos!$F$10)*Datos!$K$6))))-W43</f>
        <v>3486.6756666666661</v>
      </c>
      <c r="Q43" s="231">
        <f>IFERROR(VLOOKUP(C43,[1]Hoja1!$D$5:$E$58,2,FALSE),0)</f>
        <v>0</v>
      </c>
      <c r="R43" s="234"/>
      <c r="S43" s="234"/>
      <c r="T43" s="234"/>
      <c r="U43" s="234"/>
      <c r="V43" s="234">
        <v>25</v>
      </c>
      <c r="W43" s="231"/>
      <c r="X43" s="234">
        <f t="shared" si="2"/>
        <v>7057.6756666666661</v>
      </c>
      <c r="Y43" s="234">
        <f t="shared" si="0"/>
        <v>52942.324333333338</v>
      </c>
      <c r="Z43" s="296">
        <v>9606355139</v>
      </c>
      <c r="AA43" s="298">
        <v>45261</v>
      </c>
      <c r="AB43" s="235"/>
      <c r="AC43" s="264"/>
    </row>
    <row r="44" spans="1:29" s="236" customFormat="1" x14ac:dyDescent="0.25">
      <c r="A44" s="232"/>
      <c r="B44" s="302">
        <v>38</v>
      </c>
      <c r="C44" s="295" t="s">
        <v>349</v>
      </c>
      <c r="D44" s="232" t="s">
        <v>590</v>
      </c>
      <c r="E44" s="232" t="s">
        <v>86</v>
      </c>
      <c r="F44" s="232" t="s">
        <v>87</v>
      </c>
      <c r="G44" s="295">
        <v>4</v>
      </c>
      <c r="H44" s="296" t="s">
        <v>1209</v>
      </c>
      <c r="I44" s="297" t="s">
        <v>1061</v>
      </c>
      <c r="J44" s="232" t="s">
        <v>840</v>
      </c>
      <c r="K44" s="233">
        <f>45500+14500</f>
        <v>60000</v>
      </c>
      <c r="L44" s="284">
        <f>IF(K44&gt;=Datos!$D$14,(Datos!$D$14*Datos!$C$14),IF(K44&lt;=Datos!$D$14,(K44*Datos!$C$14)))</f>
        <v>1722</v>
      </c>
      <c r="M44" s="284">
        <f>IF(K44&gt;=Datos!$D$15,(Datos!$D$15*Datos!$C$15),IF(K44&lt;=Datos!$D$15,(K44*Datos!$C$15)))</f>
        <v>1824</v>
      </c>
      <c r="N44" s="231"/>
      <c r="O44" s="231">
        <f t="shared" si="1"/>
        <v>56454</v>
      </c>
      <c r="P44" s="223">
        <f>IF(O44&lt;=Datos!$G$7,"0",IF(O44&lt;=Datos!$G$8,(O44-Datos!$F$8)*Datos!$I$6,IF(O44&lt;=Datos!$G$9,Datos!$I$8+(O44-Datos!$F$9)*Datos!$J$6,IF(O44&gt;=Datos!$F$10,(Datos!$I$8+Datos!$J$8)+(O44-Datos!$F$10)*Datos!$K$6))))-W44</f>
        <v>3486.6756666666661</v>
      </c>
      <c r="Q44" s="231">
        <v>2237.6799999999998</v>
      </c>
      <c r="R44" s="234"/>
      <c r="S44" s="234"/>
      <c r="T44" s="234"/>
      <c r="U44" s="234"/>
      <c r="V44" s="234">
        <v>25</v>
      </c>
      <c r="W44" s="231"/>
      <c r="X44" s="234">
        <f t="shared" si="2"/>
        <v>9295.3556666666664</v>
      </c>
      <c r="Y44" s="234">
        <f t="shared" si="0"/>
        <v>50704.64433333333</v>
      </c>
      <c r="Z44" s="296" t="s">
        <v>109</v>
      </c>
      <c r="AA44" s="298">
        <v>44228</v>
      </c>
      <c r="AB44" s="235"/>
      <c r="AC44" s="264"/>
    </row>
    <row r="45" spans="1:29" s="236" customFormat="1" x14ac:dyDescent="0.25">
      <c r="A45" s="232"/>
      <c r="B45" s="302">
        <v>39</v>
      </c>
      <c r="C45" s="295" t="s">
        <v>1651</v>
      </c>
      <c r="D45" s="232" t="s">
        <v>1652</v>
      </c>
      <c r="E45" s="232" t="s">
        <v>85</v>
      </c>
      <c r="F45" s="232" t="s">
        <v>87</v>
      </c>
      <c r="G45" s="295">
        <v>5</v>
      </c>
      <c r="H45" s="296" t="s">
        <v>1383</v>
      </c>
      <c r="I45" s="297" t="s">
        <v>1062</v>
      </c>
      <c r="J45" s="232" t="s">
        <v>960</v>
      </c>
      <c r="K45" s="233">
        <v>60000</v>
      </c>
      <c r="L45" s="284">
        <f>IF(K45&gt;=Datos!$D$14,(Datos!$D$14*Datos!$C$14),IF(K45&lt;=Datos!$D$14,(K45*Datos!$C$14)))</f>
        <v>1722</v>
      </c>
      <c r="M45" s="284">
        <f>IF(K45&gt;=Datos!$D$15,(Datos!$D$15*Datos!$C$15),IF(K45&lt;=Datos!$D$15,(K45*Datos!$C$15)))</f>
        <v>1824</v>
      </c>
      <c r="N45" s="231">
        <v>1715.46</v>
      </c>
      <c r="O45" s="231">
        <f t="shared" si="1"/>
        <v>54738.54</v>
      </c>
      <c r="P45" s="223">
        <f>IF(O45&lt;=Datos!$G$7,"0",IF(O45&lt;=Datos!$G$8,(O45-Datos!$F$8)*Datos!$I$6,IF(O45&lt;=Datos!$G$9,Datos!$I$8+(O45-Datos!$F$9)*Datos!$J$6,IF(O45&gt;=Datos!$F$10,(Datos!$I$8+Datos!$J$8)+(O45-Datos!$F$10)*Datos!$K$6))))-W45</f>
        <v>3143.5836666666664</v>
      </c>
      <c r="Q45" s="231">
        <v>0</v>
      </c>
      <c r="R45" s="234"/>
      <c r="S45" s="234"/>
      <c r="T45" s="234"/>
      <c r="U45" s="234"/>
      <c r="V45" s="234">
        <v>25</v>
      </c>
      <c r="W45" s="231"/>
      <c r="X45" s="234">
        <f t="shared" si="2"/>
        <v>8430.0436666666665</v>
      </c>
      <c r="Y45" s="234">
        <f t="shared" si="0"/>
        <v>51569.956333333335</v>
      </c>
      <c r="Z45" s="296">
        <v>9607405799</v>
      </c>
      <c r="AA45" s="298">
        <v>45536</v>
      </c>
      <c r="AB45" s="235"/>
      <c r="AC45" s="264"/>
    </row>
    <row r="46" spans="1:29" s="236" customFormat="1" x14ac:dyDescent="0.25">
      <c r="A46" s="232"/>
      <c r="B46" s="302">
        <v>40</v>
      </c>
      <c r="C46" s="295" t="s">
        <v>350</v>
      </c>
      <c r="D46" s="232" t="s">
        <v>591</v>
      </c>
      <c r="E46" s="232" t="s">
        <v>85</v>
      </c>
      <c r="F46" s="232" t="s">
        <v>87</v>
      </c>
      <c r="G46" s="295">
        <v>1</v>
      </c>
      <c r="H46" s="296" t="s">
        <v>1548</v>
      </c>
      <c r="I46" s="297" t="s">
        <v>1060</v>
      </c>
      <c r="J46" s="232" t="s">
        <v>833</v>
      </c>
      <c r="K46" s="233">
        <f>13860+4140</f>
        <v>18000</v>
      </c>
      <c r="L46" s="284">
        <f>IF(K46&gt;=Datos!$D$14,(Datos!$D$14*Datos!$C$14),IF(K46&lt;=Datos!$D$14,(K46*Datos!$C$14)))</f>
        <v>516.6</v>
      </c>
      <c r="M46" s="284">
        <f>IF(K46&gt;=Datos!$D$15,(Datos!$D$15*Datos!$C$15),IF(K46&lt;=Datos!$D$15,(K46*Datos!$C$15)))</f>
        <v>547.20000000000005</v>
      </c>
      <c r="N46" s="231"/>
      <c r="O46" s="231">
        <f t="shared" si="1"/>
        <v>16936.2</v>
      </c>
      <c r="P46" s="223">
        <f>IF(O46&lt;=Datos!$G$7,"0",IF(O46&lt;=Datos!$G$8,(O46-Datos!$F$8)*Datos!$I$6,IF(O46&lt;=Datos!$G$9,Datos!$I$8+(O46-Datos!$F$9)*Datos!$J$6,IF(O46&gt;=Datos!$F$10,(Datos!$I$8+Datos!$J$8)+(O46-Datos!$F$10)*Datos!$K$6))))-W46</f>
        <v>0</v>
      </c>
      <c r="Q46" s="231">
        <v>0</v>
      </c>
      <c r="R46" s="234"/>
      <c r="S46" s="234"/>
      <c r="T46" s="234"/>
      <c r="U46" s="234"/>
      <c r="V46" s="234">
        <v>25</v>
      </c>
      <c r="W46" s="231"/>
      <c r="X46" s="234">
        <f t="shared" si="2"/>
        <v>1088.8000000000002</v>
      </c>
      <c r="Y46" s="234">
        <f t="shared" si="0"/>
        <v>16911.2</v>
      </c>
      <c r="Z46" s="296" t="s">
        <v>110</v>
      </c>
      <c r="AA46" s="298">
        <v>44410</v>
      </c>
      <c r="AB46" s="235"/>
      <c r="AC46" s="264"/>
    </row>
    <row r="47" spans="1:29" s="236" customFormat="1" x14ac:dyDescent="0.25">
      <c r="A47" s="232"/>
      <c r="B47" s="302">
        <v>41</v>
      </c>
      <c r="C47" s="295" t="s">
        <v>1853</v>
      </c>
      <c r="D47" s="232" t="s">
        <v>1854</v>
      </c>
      <c r="E47" s="232" t="s">
        <v>85</v>
      </c>
      <c r="F47" s="232" t="s">
        <v>87</v>
      </c>
      <c r="G47" s="295">
        <v>5</v>
      </c>
      <c r="H47" s="296" t="s">
        <v>1383</v>
      </c>
      <c r="I47" s="297" t="s">
        <v>1067</v>
      </c>
      <c r="J47" s="232" t="s">
        <v>1086</v>
      </c>
      <c r="K47" s="233">
        <v>60000</v>
      </c>
      <c r="L47" s="284">
        <f>IF(K47&gt;=Datos!$D$14,(Datos!$D$14*Datos!$C$14),IF(K47&lt;=Datos!$D$14,(K47*Datos!$C$14)))</f>
        <v>1722</v>
      </c>
      <c r="M47" s="284">
        <f>IF(K47&gt;=Datos!$D$15,(Datos!$D$15*Datos!$C$15),IF(K47&lt;=Datos!$D$15,(K47*Datos!$C$15)))</f>
        <v>1824</v>
      </c>
      <c r="N47" s="231"/>
      <c r="O47" s="231">
        <f t="shared" ref="O47" si="6">K47-(L47+M47+N47)</f>
        <v>56454</v>
      </c>
      <c r="P47" s="223">
        <f>IF(O47&lt;=Datos!$G$7,"0",IF(O47&lt;=Datos!$G$8,(O47-Datos!$F$8)*Datos!$I$6,IF(O47&lt;=Datos!$G$9,Datos!$I$8+(O47-Datos!$F$9)*Datos!$J$6,IF(O47&gt;=Datos!$F$10,(Datos!$I$8+Datos!$J$8)+(O47-Datos!$F$10)*Datos!$K$6))))-W47</f>
        <v>3486.6756666666661</v>
      </c>
      <c r="Q47" s="231">
        <v>0</v>
      </c>
      <c r="R47" s="234"/>
      <c r="S47" s="234"/>
      <c r="T47" s="234"/>
      <c r="U47" s="234"/>
      <c r="V47" s="234">
        <v>25</v>
      </c>
      <c r="W47" s="231"/>
      <c r="X47" s="234">
        <f t="shared" ref="X47" si="7">SUM(P47:V47)+(L47+M47+N47)-W47</f>
        <v>7057.6756666666661</v>
      </c>
      <c r="Y47" s="234">
        <f t="shared" ref="Y47" si="8">+K47-X47</f>
        <v>52942.324333333338</v>
      </c>
      <c r="Z47" s="296">
        <v>1602550671</v>
      </c>
      <c r="AA47" s="298">
        <v>45627</v>
      </c>
      <c r="AB47" s="235"/>
      <c r="AC47" s="264"/>
    </row>
    <row r="48" spans="1:29" s="236" customFormat="1" x14ac:dyDescent="0.25">
      <c r="A48" s="232"/>
      <c r="B48" s="302">
        <v>42</v>
      </c>
      <c r="C48" s="295" t="s">
        <v>351</v>
      </c>
      <c r="D48" s="232" t="s">
        <v>592</v>
      </c>
      <c r="E48" s="232" t="s">
        <v>86</v>
      </c>
      <c r="F48" s="232" t="s">
        <v>87</v>
      </c>
      <c r="G48" s="295">
        <v>1</v>
      </c>
      <c r="H48" s="296" t="s">
        <v>1187</v>
      </c>
      <c r="I48" s="297" t="s">
        <v>1187</v>
      </c>
      <c r="J48" s="232" t="s">
        <v>841</v>
      </c>
      <c r="K48" s="233">
        <v>35000</v>
      </c>
      <c r="L48" s="284">
        <f>IF(K48&gt;=Datos!$D$14,(Datos!$D$14*Datos!$C$14),IF(K48&lt;=Datos!$D$14,(K48*Datos!$C$14)))</f>
        <v>1004.5</v>
      </c>
      <c r="M48" s="284">
        <f>IF(K48&gt;=Datos!$D$15,(Datos!$D$15*Datos!$C$15),IF(K48&lt;=Datos!$D$15,(K48*Datos!$C$15)))</f>
        <v>1064</v>
      </c>
      <c r="N48" s="231"/>
      <c r="O48" s="231">
        <f t="shared" si="1"/>
        <v>32931.5</v>
      </c>
      <c r="P48" s="223">
        <f>IF(O48&lt;=Datos!$G$7,"0",IF(O48&lt;=Datos!$G$8,(O48-Datos!$F$8)*Datos!$I$6,IF(O48&lt;=Datos!$G$9,Datos!$I$8+(O48-Datos!$F$9)*Datos!$J$6,IF(O48&gt;=Datos!$F$10,(Datos!$I$8+Datos!$J$8)+(O48-Datos!$F$10)*Datos!$K$6))))-W48</f>
        <v>0</v>
      </c>
      <c r="Q48" s="231">
        <f>IFERROR(VLOOKUP(C48,[1]Hoja1!$D$5:$E$58,2,FALSE),0)</f>
        <v>0</v>
      </c>
      <c r="R48" s="234"/>
      <c r="S48" s="234"/>
      <c r="T48" s="234"/>
      <c r="U48" s="234"/>
      <c r="V48" s="234">
        <v>25</v>
      </c>
      <c r="W48" s="231"/>
      <c r="X48" s="234">
        <f t="shared" si="2"/>
        <v>2093.5</v>
      </c>
      <c r="Y48" s="234">
        <f t="shared" si="0"/>
        <v>32906.5</v>
      </c>
      <c r="Z48" s="296" t="s">
        <v>111</v>
      </c>
      <c r="AA48" s="298">
        <v>44197</v>
      </c>
      <c r="AB48" s="235"/>
      <c r="AC48" s="264"/>
    </row>
    <row r="49" spans="1:29" s="236" customFormat="1" x14ac:dyDescent="0.25">
      <c r="A49" s="232"/>
      <c r="B49" s="302">
        <v>43</v>
      </c>
      <c r="C49" s="295" t="s">
        <v>352</v>
      </c>
      <c r="D49" s="232" t="s">
        <v>593</v>
      </c>
      <c r="E49" s="232" t="s">
        <v>85</v>
      </c>
      <c r="F49" s="232" t="s">
        <v>87</v>
      </c>
      <c r="G49" s="295">
        <v>5</v>
      </c>
      <c r="H49" s="296" t="s">
        <v>1210</v>
      </c>
      <c r="I49" s="297" t="s">
        <v>1060</v>
      </c>
      <c r="J49" s="232" t="s">
        <v>837</v>
      </c>
      <c r="K49" s="233">
        <v>75245.3</v>
      </c>
      <c r="L49" s="284">
        <f>IF(K49&gt;=Datos!$D$14,(Datos!$D$14*Datos!$C$14),IF(K49&lt;=Datos!$D$14,(K49*Datos!$C$14)))</f>
        <v>2159.5401099999999</v>
      </c>
      <c r="M49" s="284">
        <f>IF(K49&gt;=Datos!$D$15,(Datos!$D$15*Datos!$C$15),IF(K49&lt;=Datos!$D$15,(K49*Datos!$C$15)))</f>
        <v>2287.45712</v>
      </c>
      <c r="N49" s="231"/>
      <c r="O49" s="231">
        <f t="shared" si="1"/>
        <v>70798.302770000009</v>
      </c>
      <c r="P49" s="223">
        <f>IF(O49&lt;=Datos!$G$7,"0",IF(O49&lt;=Datos!$G$8,(O49-Datos!$F$8)*Datos!$I$6,IF(O49&lt;=Datos!$G$9,Datos!$I$8+(O49-Datos!$F$9)*Datos!$J$6,IF(O49&gt;=Datos!$F$10,(Datos!$I$8+Datos!$J$8)+(O49-Datos!$F$10)*Datos!$K$6))))-W49</f>
        <v>6355.5362206666687</v>
      </c>
      <c r="Q49" s="231">
        <f>IFERROR(VLOOKUP(C49,[1]Hoja1!$D$5:$E$58,2,FALSE),0)</f>
        <v>0</v>
      </c>
      <c r="R49" s="234"/>
      <c r="S49" s="234"/>
      <c r="T49" s="234"/>
      <c r="U49" s="234"/>
      <c r="V49" s="234">
        <v>25</v>
      </c>
      <c r="W49" s="231"/>
      <c r="X49" s="234">
        <f t="shared" si="2"/>
        <v>10827.53345066667</v>
      </c>
      <c r="Y49" s="234">
        <f t="shared" si="0"/>
        <v>64417.766549333333</v>
      </c>
      <c r="Z49" s="296" t="s">
        <v>112</v>
      </c>
      <c r="AA49" s="298">
        <v>44197</v>
      </c>
      <c r="AB49" s="235"/>
      <c r="AC49" s="264"/>
    </row>
    <row r="50" spans="1:29" s="236" customFormat="1" x14ac:dyDescent="0.25">
      <c r="A50" s="232"/>
      <c r="B50" s="302">
        <v>44</v>
      </c>
      <c r="C50" s="295" t="s">
        <v>353</v>
      </c>
      <c r="D50" s="297" t="s">
        <v>594</v>
      </c>
      <c r="E50" s="232" t="s">
        <v>85</v>
      </c>
      <c r="F50" s="232" t="s">
        <v>87</v>
      </c>
      <c r="G50" s="295">
        <v>1</v>
      </c>
      <c r="H50" s="296" t="s">
        <v>1827</v>
      </c>
      <c r="I50" s="297" t="s">
        <v>1067</v>
      </c>
      <c r="J50" s="232" t="s">
        <v>841</v>
      </c>
      <c r="K50" s="233">
        <v>26000</v>
      </c>
      <c r="L50" s="284">
        <f>IF(K50&gt;=Datos!$D$14,(Datos!$D$14*Datos!$C$14),IF(K50&lt;=Datos!$D$14,(K50*Datos!$C$14)))</f>
        <v>746.2</v>
      </c>
      <c r="M50" s="284">
        <f>IF(K50&gt;=Datos!$D$15,(Datos!$D$15*Datos!$C$15),IF(K50&lt;=Datos!$D$15,(K50*Datos!$C$15)))</f>
        <v>790.4</v>
      </c>
      <c r="N50" s="231"/>
      <c r="O50" s="231">
        <f t="shared" si="1"/>
        <v>24463.4</v>
      </c>
      <c r="P50" s="223">
        <f>IF(O50&lt;=Datos!$G$7,"0",IF(O50&lt;=Datos!$G$8,(O50-Datos!$F$8)*Datos!$I$6,IF(O50&lt;=Datos!$G$9,Datos!$I$8+(O50-Datos!$F$9)*Datos!$J$6,IF(O50&gt;=Datos!$F$10,(Datos!$I$8+Datos!$J$8)+(O50-Datos!$F$10)*Datos!$K$6))))-W50</f>
        <v>0</v>
      </c>
      <c r="Q50" s="231">
        <v>0</v>
      </c>
      <c r="R50" s="234"/>
      <c r="S50" s="234"/>
      <c r="T50" s="234"/>
      <c r="U50" s="234"/>
      <c r="V50" s="234">
        <v>25</v>
      </c>
      <c r="W50" s="231"/>
      <c r="X50" s="234">
        <f t="shared" si="2"/>
        <v>1561.6</v>
      </c>
      <c r="Y50" s="234">
        <f t="shared" si="0"/>
        <v>24438.400000000001</v>
      </c>
      <c r="Z50" s="296" t="s">
        <v>113</v>
      </c>
      <c r="AA50" s="298">
        <v>44410</v>
      </c>
      <c r="AB50" s="235"/>
      <c r="AC50" s="264"/>
    </row>
    <row r="51" spans="1:29" s="236" customFormat="1" x14ac:dyDescent="0.25">
      <c r="A51" s="232"/>
      <c r="B51" s="302">
        <v>45</v>
      </c>
      <c r="C51" s="295" t="s">
        <v>1781</v>
      </c>
      <c r="D51" s="297" t="s">
        <v>1782</v>
      </c>
      <c r="E51" s="232" t="s">
        <v>85</v>
      </c>
      <c r="F51" s="232" t="s">
        <v>87</v>
      </c>
      <c r="G51" s="295">
        <v>1</v>
      </c>
      <c r="H51" s="296" t="s">
        <v>1770</v>
      </c>
      <c r="I51" s="297" t="s">
        <v>1710</v>
      </c>
      <c r="J51" s="232" t="s">
        <v>841</v>
      </c>
      <c r="K51" s="233">
        <v>33000</v>
      </c>
      <c r="L51" s="284">
        <f>IF(K51&gt;=Datos!$D$14,(Datos!$D$14*Datos!$C$14),IF(K51&lt;=Datos!$D$14,(K51*Datos!$C$14)))</f>
        <v>947.1</v>
      </c>
      <c r="M51" s="284">
        <f>IF(K51&gt;=Datos!$D$15,(Datos!$D$15*Datos!$C$15),IF(K51&lt;=Datos!$D$15,(K51*Datos!$C$15)))</f>
        <v>1003.2</v>
      </c>
      <c r="N51" s="231"/>
      <c r="O51" s="231">
        <f t="shared" si="1"/>
        <v>31049.7</v>
      </c>
      <c r="P51" s="223">
        <f>IF(O51&lt;=Datos!$G$7,"0",IF(O51&lt;=Datos!$G$8,(O51-Datos!$F$8)*Datos!$I$6,IF(O51&lt;=Datos!$G$9,Datos!$I$8+(O51-Datos!$F$9)*Datos!$J$6,IF(O51&gt;=Datos!$F$10,(Datos!$I$8+Datos!$J$8)+(O51-Datos!$F$10)*Datos!$K$6))))-W51</f>
        <v>0</v>
      </c>
      <c r="Q51" s="231">
        <v>0</v>
      </c>
      <c r="R51" s="234"/>
      <c r="S51" s="234"/>
      <c r="T51" s="234"/>
      <c r="U51" s="234"/>
      <c r="V51" s="234">
        <v>25</v>
      </c>
      <c r="W51" s="231"/>
      <c r="X51" s="234">
        <f t="shared" si="2"/>
        <v>1975.3000000000002</v>
      </c>
      <c r="Y51" s="234">
        <f t="shared" si="0"/>
        <v>31024.7</v>
      </c>
      <c r="Z51" s="296">
        <v>9607660887</v>
      </c>
      <c r="AA51" s="298">
        <v>45597</v>
      </c>
      <c r="AB51" s="235"/>
      <c r="AC51" s="264"/>
    </row>
    <row r="52" spans="1:29" s="236" customFormat="1" x14ac:dyDescent="0.25">
      <c r="A52" s="232"/>
      <c r="B52" s="302">
        <v>46</v>
      </c>
      <c r="C52" s="295" t="s">
        <v>354</v>
      </c>
      <c r="D52" s="232" t="s">
        <v>595</v>
      </c>
      <c r="E52" s="232" t="s">
        <v>86</v>
      </c>
      <c r="F52" s="232" t="s">
        <v>87</v>
      </c>
      <c r="G52" s="295">
        <v>5</v>
      </c>
      <c r="H52" s="296" t="s">
        <v>1211</v>
      </c>
      <c r="I52" s="297" t="s">
        <v>1062</v>
      </c>
      <c r="J52" s="232" t="s">
        <v>843</v>
      </c>
      <c r="K52" s="233">
        <f>32500+2500</f>
        <v>35000</v>
      </c>
      <c r="L52" s="284">
        <f>IF(K52&gt;=Datos!$D$14,(Datos!$D$14*Datos!$C$14),IF(K52&lt;=Datos!$D$14,(K52*Datos!$C$14)))</f>
        <v>1004.5</v>
      </c>
      <c r="M52" s="284">
        <f>IF(K52&gt;=Datos!$D$15,(Datos!$D$15*Datos!$C$15),IF(K52&lt;=Datos!$D$15,(K52*Datos!$C$15)))</f>
        <v>1064</v>
      </c>
      <c r="N52" s="231">
        <f>+N36*2</f>
        <v>3430.92</v>
      </c>
      <c r="O52" s="231">
        <f t="shared" si="1"/>
        <v>29500.58</v>
      </c>
      <c r="P52" s="223">
        <f>IF(O52&lt;=Datos!$G$7,"0",IF(O52&lt;=Datos!$G$8,(O52-Datos!$F$8)*Datos!$I$6,IF(O52&lt;=Datos!$G$9,Datos!$I$8+(O52-Datos!$F$9)*Datos!$J$6,IF(O52&gt;=Datos!$F$10,(Datos!$I$8+Datos!$J$8)+(O52-Datos!$F$10)*Datos!$K$6))))-W52</f>
        <v>0</v>
      </c>
      <c r="Q52" s="231">
        <f>IFERROR(VLOOKUP(C52,[1]Hoja1!$D$5:$E$58,2,FALSE),0)</f>
        <v>0</v>
      </c>
      <c r="R52" s="234"/>
      <c r="S52" s="234"/>
      <c r="T52" s="234"/>
      <c r="U52" s="234"/>
      <c r="V52" s="234">
        <v>25</v>
      </c>
      <c r="W52" s="231"/>
      <c r="X52" s="234">
        <f t="shared" si="2"/>
        <v>5524.42</v>
      </c>
      <c r="Y52" s="234">
        <f t="shared" si="0"/>
        <v>29475.58</v>
      </c>
      <c r="Z52" s="296" t="s">
        <v>114</v>
      </c>
      <c r="AA52" s="298">
        <v>44197</v>
      </c>
      <c r="AB52" s="235"/>
      <c r="AC52" s="264"/>
    </row>
    <row r="53" spans="1:29" s="236" customFormat="1" x14ac:dyDescent="0.25">
      <c r="A53" s="232"/>
      <c r="B53" s="302">
        <v>47</v>
      </c>
      <c r="C53" s="295" t="s">
        <v>1094</v>
      </c>
      <c r="D53" s="232" t="s">
        <v>1095</v>
      </c>
      <c r="E53" s="232" t="s">
        <v>85</v>
      </c>
      <c r="F53" s="232" t="s">
        <v>87</v>
      </c>
      <c r="G53" s="295">
        <v>1</v>
      </c>
      <c r="H53" s="296" t="s">
        <v>1548</v>
      </c>
      <c r="I53" s="297" t="s">
        <v>1067</v>
      </c>
      <c r="J53" s="232" t="s">
        <v>1023</v>
      </c>
      <c r="K53" s="233">
        <v>26000</v>
      </c>
      <c r="L53" s="284">
        <f>IF(K53&gt;=Datos!$D$14,(Datos!$D$14*Datos!$C$14),IF(K53&lt;=Datos!$D$14,(K53*Datos!$C$14)))</f>
        <v>746.2</v>
      </c>
      <c r="M53" s="284">
        <f>IF(K53&gt;=Datos!$D$15,(Datos!$D$15*Datos!$C$15),IF(K53&lt;=Datos!$D$15,(K53*Datos!$C$15)))</f>
        <v>790.4</v>
      </c>
      <c r="N53" s="231"/>
      <c r="O53" s="231">
        <f t="shared" si="1"/>
        <v>24463.4</v>
      </c>
      <c r="P53" s="223">
        <f>IF(O53&lt;=Datos!$G$7,"0",IF(O53&lt;=Datos!$G$8,(O53-Datos!$F$8)*Datos!$I$6,IF(O53&lt;=Datos!$G$9,Datos!$I$8+(O53-Datos!$F$9)*Datos!$J$6,IF(O53&gt;=Datos!$F$10,(Datos!$I$8+Datos!$J$8)+(O53-Datos!$F$10)*Datos!$K$6))))-W53</f>
        <v>0</v>
      </c>
      <c r="Q53" s="231">
        <f>IFERROR(VLOOKUP(C53,[1]Hoja1!$D$5:$E$58,2,FALSE),0)</f>
        <v>0</v>
      </c>
      <c r="R53" s="234"/>
      <c r="S53" s="234"/>
      <c r="T53" s="234"/>
      <c r="U53" s="234"/>
      <c r="V53" s="234">
        <v>25</v>
      </c>
      <c r="W53" s="231"/>
      <c r="X53" s="234">
        <f t="shared" si="2"/>
        <v>1561.6</v>
      </c>
      <c r="Y53" s="234">
        <f t="shared" si="0"/>
        <v>24438.400000000001</v>
      </c>
      <c r="Z53" s="296"/>
      <c r="AA53" s="298">
        <v>44835</v>
      </c>
      <c r="AB53" s="235"/>
      <c r="AC53" s="264"/>
    </row>
    <row r="54" spans="1:29" s="236" customFormat="1" x14ac:dyDescent="0.25">
      <c r="A54" s="232"/>
      <c r="B54" s="302">
        <v>48</v>
      </c>
      <c r="C54" s="295" t="s">
        <v>1092</v>
      </c>
      <c r="D54" s="232" t="s">
        <v>1093</v>
      </c>
      <c r="E54" s="232" t="s">
        <v>85</v>
      </c>
      <c r="F54" s="232" t="s">
        <v>87</v>
      </c>
      <c r="G54" s="295">
        <v>5</v>
      </c>
      <c r="H54" s="296" t="s">
        <v>1210</v>
      </c>
      <c r="I54" s="297" t="s">
        <v>1067</v>
      </c>
      <c r="J54" s="232" t="s">
        <v>1086</v>
      </c>
      <c r="K54" s="233">
        <v>60000</v>
      </c>
      <c r="L54" s="284">
        <f>IF(K54&gt;=Datos!$D$14,(Datos!$D$14*Datos!$C$14),IF(K54&lt;=Datos!$D$14,(K54*Datos!$C$14)))</f>
        <v>1722</v>
      </c>
      <c r="M54" s="284">
        <f>IF(K54&gt;=Datos!$D$15,(Datos!$D$15*Datos!$C$15),IF(K54&lt;=Datos!$D$15,(K54*Datos!$C$15)))</f>
        <v>1824</v>
      </c>
      <c r="N54" s="231"/>
      <c r="O54" s="231">
        <f t="shared" si="1"/>
        <v>56454</v>
      </c>
      <c r="P54" s="223">
        <f>IF(O54&lt;=Datos!$G$7,"0",IF(O54&lt;=Datos!$G$8,(O54-Datos!$F$8)*Datos!$I$6,IF(O54&lt;=Datos!$G$9,Datos!$I$8+(O54-Datos!$F$9)*Datos!$J$6,IF(O54&gt;=Datos!$F$10,(Datos!$I$8+Datos!$J$8)+(O54-Datos!$F$10)*Datos!$K$6))))-W54</f>
        <v>3486.6756666666661</v>
      </c>
      <c r="Q54" s="231">
        <f>IFERROR(VLOOKUP(C54,[1]Hoja1!$D$5:$E$58,2,FALSE),0)</f>
        <v>0</v>
      </c>
      <c r="R54" s="234"/>
      <c r="S54" s="234"/>
      <c r="T54" s="234"/>
      <c r="U54" s="234"/>
      <c r="V54" s="234">
        <v>25</v>
      </c>
      <c r="W54" s="231"/>
      <c r="X54" s="234">
        <f t="shared" si="2"/>
        <v>7057.6756666666661</v>
      </c>
      <c r="Y54" s="234">
        <f t="shared" si="0"/>
        <v>52942.324333333338</v>
      </c>
      <c r="Z54" s="296"/>
      <c r="AA54" s="298">
        <v>44835</v>
      </c>
      <c r="AB54" s="235"/>
      <c r="AC54" s="264"/>
    </row>
    <row r="55" spans="1:29" s="236" customFormat="1" x14ac:dyDescent="0.25">
      <c r="A55" s="232"/>
      <c r="B55" s="302">
        <v>49</v>
      </c>
      <c r="C55" s="295" t="s">
        <v>355</v>
      </c>
      <c r="D55" s="232" t="s">
        <v>596</v>
      </c>
      <c r="E55" s="232" t="s">
        <v>85</v>
      </c>
      <c r="F55" s="232" t="s">
        <v>87</v>
      </c>
      <c r="G55" s="295">
        <v>5</v>
      </c>
      <c r="H55" s="296" t="s">
        <v>1210</v>
      </c>
      <c r="I55" s="297" t="s">
        <v>1062</v>
      </c>
      <c r="J55" s="232" t="s">
        <v>837</v>
      </c>
      <c r="K55" s="233">
        <f>25000+20000+20000</f>
        <v>65000</v>
      </c>
      <c r="L55" s="284">
        <f>IF(K55&gt;=Datos!$D$14,(Datos!$D$14*Datos!$C$14),IF(K55&lt;=Datos!$D$14,(K55*Datos!$C$14)))</f>
        <v>1865.5</v>
      </c>
      <c r="M55" s="284">
        <f>IF(K55&gt;=Datos!$D$15,(Datos!$D$15*Datos!$C$15),IF(K55&lt;=Datos!$D$15,(K55*Datos!$C$15)))</f>
        <v>1976</v>
      </c>
      <c r="N55" s="231"/>
      <c r="O55" s="231">
        <f t="shared" si="1"/>
        <v>61158.5</v>
      </c>
      <c r="P55" s="223">
        <f>IF(O55&lt;=Datos!$G$7,"0",IF(O55&lt;=Datos!$G$8,(O55-Datos!$F$8)*Datos!$I$6,IF(O55&lt;=Datos!$G$9,Datos!$I$8+(O55-Datos!$F$9)*Datos!$J$6,IF(O55&gt;=Datos!$F$10,(Datos!$I$8+Datos!$J$8)+(O55-Datos!$F$10)*Datos!$K$6))))-W55</f>
        <v>4427.5756666666657</v>
      </c>
      <c r="Q55" s="231">
        <f>IFERROR(VLOOKUP(C55,[1]Hoja1!$D$5:$E$58,2,FALSE),0)</f>
        <v>0</v>
      </c>
      <c r="R55" s="234"/>
      <c r="S55" s="234"/>
      <c r="T55" s="234"/>
      <c r="U55" s="234"/>
      <c r="V55" s="234">
        <v>25</v>
      </c>
      <c r="W55" s="231"/>
      <c r="X55" s="234">
        <f t="shared" si="2"/>
        <v>8294.0756666666657</v>
      </c>
      <c r="Y55" s="234">
        <f t="shared" si="0"/>
        <v>56705.924333333336</v>
      </c>
      <c r="Z55" s="296" t="s">
        <v>115</v>
      </c>
      <c r="AA55" s="298">
        <v>44349</v>
      </c>
      <c r="AB55" s="235"/>
      <c r="AC55" s="264"/>
    </row>
    <row r="56" spans="1:29" s="236" customFormat="1" x14ac:dyDescent="0.25">
      <c r="A56" s="232"/>
      <c r="B56" s="302">
        <v>50</v>
      </c>
      <c r="C56" s="295" t="s">
        <v>1556</v>
      </c>
      <c r="D56" s="232" t="s">
        <v>1542</v>
      </c>
      <c r="E56" s="232" t="s">
        <v>85</v>
      </c>
      <c r="F56" s="232" t="s">
        <v>87</v>
      </c>
      <c r="G56" s="295">
        <v>1</v>
      </c>
      <c r="H56" s="296" t="s">
        <v>1834</v>
      </c>
      <c r="I56" s="297" t="s">
        <v>1067</v>
      </c>
      <c r="J56" s="232" t="s">
        <v>933</v>
      </c>
      <c r="K56" s="233">
        <v>26000</v>
      </c>
      <c r="L56" s="284">
        <f>IF(K56&gt;=Datos!$D$14,(Datos!$D$14*Datos!$C$14),IF(K56&lt;=Datos!$D$14,(K56*Datos!$C$14)))</f>
        <v>746.2</v>
      </c>
      <c r="M56" s="284">
        <f>IF(K56&gt;=Datos!$D$15,(Datos!$D$15*Datos!$C$15),IF(K56&lt;=Datos!$D$15,(K56*Datos!$C$15)))</f>
        <v>790.4</v>
      </c>
      <c r="N56" s="231"/>
      <c r="O56" s="231">
        <f t="shared" si="1"/>
        <v>24463.4</v>
      </c>
      <c r="P56" s="223">
        <f>IF(O56&lt;=Datos!$G$7,"0",IF(O56&lt;=Datos!$G$8,(O56-Datos!$F$8)*Datos!$I$6,IF(O56&lt;=Datos!$G$9,Datos!$I$8+(O56-Datos!$F$9)*Datos!$J$6,IF(O56&gt;=Datos!$F$10,(Datos!$I$8+Datos!$J$8)+(O56-Datos!$F$10)*Datos!$K$6))))-W56</f>
        <v>0</v>
      </c>
      <c r="Q56" s="231">
        <f>IFERROR(VLOOKUP(C56,[1]Hoja1!$D$5:$E$58,2,FALSE),0)</f>
        <v>0</v>
      </c>
      <c r="R56" s="234"/>
      <c r="S56" s="234"/>
      <c r="T56" s="234"/>
      <c r="U56" s="234"/>
      <c r="V56" s="234">
        <v>25</v>
      </c>
      <c r="W56" s="231"/>
      <c r="X56" s="234">
        <f t="shared" si="2"/>
        <v>1561.6</v>
      </c>
      <c r="Y56" s="234">
        <f t="shared" si="0"/>
        <v>24438.400000000001</v>
      </c>
      <c r="Z56" s="296">
        <v>9607065889</v>
      </c>
      <c r="AA56" s="298">
        <v>45413</v>
      </c>
      <c r="AB56" s="235"/>
      <c r="AC56" s="264"/>
    </row>
    <row r="57" spans="1:29" s="236" customFormat="1" x14ac:dyDescent="0.25">
      <c r="A57" s="232"/>
      <c r="B57" s="302">
        <v>51</v>
      </c>
      <c r="C57" s="295" t="s">
        <v>356</v>
      </c>
      <c r="D57" s="232" t="s">
        <v>597</v>
      </c>
      <c r="E57" s="232" t="s">
        <v>86</v>
      </c>
      <c r="F57" s="232" t="s">
        <v>87</v>
      </c>
      <c r="G57" s="295">
        <v>1</v>
      </c>
      <c r="H57" s="296" t="s">
        <v>1828</v>
      </c>
      <c r="I57" s="297" t="s">
        <v>1062</v>
      </c>
      <c r="J57" s="232" t="s">
        <v>844</v>
      </c>
      <c r="K57" s="233">
        <v>22500</v>
      </c>
      <c r="L57" s="284">
        <f>IF(K57&gt;=Datos!$D$14,(Datos!$D$14*Datos!$C$14),IF(K57&lt;=Datos!$D$14,(K57*Datos!$C$14)))</f>
        <v>645.75</v>
      </c>
      <c r="M57" s="284">
        <f>IF(K57&gt;=Datos!$D$15,(Datos!$D$15*Datos!$C$15),IF(K57&lt;=Datos!$D$15,(K57*Datos!$C$15)))</f>
        <v>684</v>
      </c>
      <c r="N57" s="231"/>
      <c r="O57" s="231">
        <f t="shared" si="1"/>
        <v>21170.25</v>
      </c>
      <c r="P57" s="223">
        <f>IF(O57&lt;=Datos!$G$7,"0",IF(O57&lt;=Datos!$G$8,(O57-Datos!$F$8)*Datos!$I$6,IF(O57&lt;=Datos!$G$9,Datos!$I$8+(O57-Datos!$F$9)*Datos!$J$6,IF(O57&gt;=Datos!$F$10,(Datos!$I$8+Datos!$J$8)+(O57-Datos!$F$10)*Datos!$K$6))))-W57</f>
        <v>0</v>
      </c>
      <c r="Q57" s="231">
        <f>IFERROR(VLOOKUP(C57,[1]Hoja1!$D$5:$E$58,2,FALSE),0)</f>
        <v>0</v>
      </c>
      <c r="R57" s="234"/>
      <c r="S57" s="234"/>
      <c r="T57" s="234"/>
      <c r="U57" s="234"/>
      <c r="V57" s="234">
        <v>25</v>
      </c>
      <c r="W57" s="231"/>
      <c r="X57" s="234">
        <f t="shared" si="2"/>
        <v>1354.75</v>
      </c>
      <c r="Y57" s="234">
        <f t="shared" si="0"/>
        <v>21145.25</v>
      </c>
      <c r="Z57" s="296" t="s">
        <v>116</v>
      </c>
      <c r="AA57" s="298">
        <v>44197</v>
      </c>
      <c r="AB57" s="235"/>
      <c r="AC57" s="264"/>
    </row>
    <row r="58" spans="1:29" s="236" customFormat="1" x14ac:dyDescent="0.25">
      <c r="A58" s="232"/>
      <c r="B58" s="302">
        <v>52</v>
      </c>
      <c r="C58" s="295" t="s">
        <v>1460</v>
      </c>
      <c r="D58" s="232" t="s">
        <v>1461</v>
      </c>
      <c r="E58" s="232" t="s">
        <v>85</v>
      </c>
      <c r="F58" s="232" t="s">
        <v>87</v>
      </c>
      <c r="G58" s="295">
        <v>5</v>
      </c>
      <c r="H58" s="232" t="s">
        <v>1210</v>
      </c>
      <c r="I58" s="297" t="s">
        <v>1060</v>
      </c>
      <c r="J58" s="232" t="s">
        <v>1462</v>
      </c>
      <c r="K58" s="233">
        <v>35000</v>
      </c>
      <c r="L58" s="284">
        <f>IF(K58&gt;=Datos!$D$14,(Datos!$D$14*Datos!$C$14),IF(K58&lt;=Datos!$D$14,(K58*Datos!$C$14)))</f>
        <v>1004.5</v>
      </c>
      <c r="M58" s="284">
        <f>IF(K58&gt;=Datos!$D$15,(Datos!$D$15*Datos!$C$15),IF(K58&lt;=Datos!$D$15,(K58*Datos!$C$15)))</f>
        <v>1064</v>
      </c>
      <c r="N58" s="231"/>
      <c r="O58" s="231">
        <f t="shared" si="1"/>
        <v>32931.5</v>
      </c>
      <c r="P58" s="223">
        <f>IF(O58&lt;=Datos!$G$7,"0",IF(O58&lt;=Datos!$G$8,(O58-Datos!$F$8)*Datos!$I$6,IF(O58&lt;=Datos!$G$9,Datos!$I$8+(O58-Datos!$F$9)*Datos!$J$6,IF(O58&gt;=Datos!$F$10,(Datos!$I$8+Datos!$J$8)+(O58-Datos!$F$10)*Datos!$K$6))))-W58</f>
        <v>0</v>
      </c>
      <c r="Q58" s="231">
        <f>IFERROR(VLOOKUP(C58,[1]Hoja1!$D$5:$E$58,2,FALSE),0)</f>
        <v>0</v>
      </c>
      <c r="R58" s="234"/>
      <c r="S58" s="234"/>
      <c r="T58" s="234"/>
      <c r="U58" s="234"/>
      <c r="V58" s="234">
        <v>25</v>
      </c>
      <c r="W58" s="231"/>
      <c r="X58" s="234">
        <f t="shared" si="2"/>
        <v>2093.5</v>
      </c>
      <c r="Y58" s="234">
        <f t="shared" si="0"/>
        <v>32906.5</v>
      </c>
      <c r="Z58" s="296" t="s">
        <v>1467</v>
      </c>
      <c r="AA58" s="298">
        <v>45261</v>
      </c>
      <c r="AB58" s="235"/>
      <c r="AC58" s="264"/>
    </row>
    <row r="59" spans="1:29" s="236" customFormat="1" x14ac:dyDescent="0.25">
      <c r="A59" s="232"/>
      <c r="B59" s="302">
        <v>53</v>
      </c>
      <c r="C59" s="295" t="s">
        <v>966</v>
      </c>
      <c r="D59" s="232" t="s">
        <v>967</v>
      </c>
      <c r="E59" s="232" t="s">
        <v>85</v>
      </c>
      <c r="F59" s="232" t="s">
        <v>87</v>
      </c>
      <c r="G59" s="295">
        <v>4</v>
      </c>
      <c r="H59" s="296" t="s">
        <v>1209</v>
      </c>
      <c r="I59" s="297" t="s">
        <v>1060</v>
      </c>
      <c r="J59" s="232" t="s">
        <v>1588</v>
      </c>
      <c r="K59" s="233">
        <v>60000</v>
      </c>
      <c r="L59" s="284">
        <f>IF(K59&gt;=Datos!$D$14,(Datos!$D$14*Datos!$C$14),IF(K59&lt;=Datos!$D$14,(K59*Datos!$C$14)))</f>
        <v>1722</v>
      </c>
      <c r="M59" s="284">
        <f>IF(K59&gt;=Datos!$D$15,(Datos!$D$15*Datos!$C$15),IF(K59&lt;=Datos!$D$15,(K59*Datos!$C$15)))</f>
        <v>1824</v>
      </c>
      <c r="N59" s="231">
        <v>1715.46</v>
      </c>
      <c r="O59" s="231">
        <f t="shared" si="1"/>
        <v>54738.54</v>
      </c>
      <c r="P59" s="223">
        <f>IF(O59&lt;=Datos!$G$7,"0",IF(O59&lt;=Datos!$G$8,(O59-Datos!$F$8)*Datos!$I$6,IF(O59&lt;=Datos!$G$9,Datos!$I$8+(O59-Datos!$F$9)*Datos!$J$6,IF(O59&gt;=Datos!$F$10,(Datos!$I$8+Datos!$J$8)+(O59-Datos!$F$10)*Datos!$K$6))))-W59</f>
        <v>3143.5836666666664</v>
      </c>
      <c r="Q59" s="231">
        <f>IFERROR(VLOOKUP(C59,[1]Hoja1!$D$5:$E$58,2,FALSE),0)</f>
        <v>0</v>
      </c>
      <c r="R59" s="234"/>
      <c r="S59" s="234"/>
      <c r="T59" s="234"/>
      <c r="U59" s="234"/>
      <c r="V59" s="234">
        <v>25</v>
      </c>
      <c r="W59" s="231"/>
      <c r="X59" s="234">
        <f t="shared" si="2"/>
        <v>8430.0436666666665</v>
      </c>
      <c r="Y59" s="234">
        <f t="shared" si="0"/>
        <v>51569.956333333335</v>
      </c>
      <c r="Z59" s="296"/>
      <c r="AA59" s="298">
        <v>44682</v>
      </c>
      <c r="AB59" s="235"/>
      <c r="AC59" s="264"/>
    </row>
    <row r="60" spans="1:29" s="236" customFormat="1" x14ac:dyDescent="0.25">
      <c r="A60" s="232"/>
      <c r="B60" s="302">
        <v>54</v>
      </c>
      <c r="C60" s="295" t="s">
        <v>958</v>
      </c>
      <c r="D60" s="232" t="s">
        <v>959</v>
      </c>
      <c r="E60" s="232" t="s">
        <v>85</v>
      </c>
      <c r="F60" s="232" t="s">
        <v>87</v>
      </c>
      <c r="G60" s="295">
        <v>5</v>
      </c>
      <c r="H60" s="296" t="s">
        <v>1210</v>
      </c>
      <c r="I60" s="297" t="s">
        <v>1060</v>
      </c>
      <c r="J60" s="232" t="s">
        <v>950</v>
      </c>
      <c r="K60" s="233">
        <v>35000</v>
      </c>
      <c r="L60" s="284">
        <f>IF(K60&gt;=Datos!$D$14,(Datos!$D$14*Datos!$C$14),IF(K60&lt;=Datos!$D$14,(K60*Datos!$C$14)))</f>
        <v>1004.5</v>
      </c>
      <c r="M60" s="284">
        <f>IF(K60&gt;=Datos!$D$15,(Datos!$D$15*Datos!$C$15),IF(K60&lt;=Datos!$D$15,(K60*Datos!$C$15)))</f>
        <v>1064</v>
      </c>
      <c r="N60" s="231"/>
      <c r="O60" s="231">
        <f t="shared" si="1"/>
        <v>32931.5</v>
      </c>
      <c r="P60" s="223">
        <f>IF(O60&lt;=Datos!$G$7,"0",IF(O60&lt;=Datos!$G$8,(O60-Datos!$F$8)*Datos!$I$6,IF(O60&lt;=Datos!$G$9,Datos!$I$8+(O60-Datos!$F$9)*Datos!$J$6,IF(O60&gt;=Datos!$F$10,(Datos!$I$8+Datos!$J$8)+(O60-Datos!$F$10)*Datos!$K$6))))-W60</f>
        <v>0</v>
      </c>
      <c r="Q60" s="231">
        <f>IFERROR(VLOOKUP(C60,[1]Hoja1!$D$5:$E$58,2,FALSE),0)</f>
        <v>0</v>
      </c>
      <c r="R60" s="234"/>
      <c r="S60" s="234"/>
      <c r="T60" s="234"/>
      <c r="U60" s="234"/>
      <c r="V60" s="234">
        <v>25</v>
      </c>
      <c r="W60" s="231"/>
      <c r="X60" s="234">
        <f t="shared" si="2"/>
        <v>2093.5</v>
      </c>
      <c r="Y60" s="234">
        <f t="shared" si="0"/>
        <v>32906.5</v>
      </c>
      <c r="Z60" s="296"/>
      <c r="AA60" s="298">
        <v>44682</v>
      </c>
      <c r="AB60" s="235"/>
      <c r="AC60" s="264"/>
    </row>
    <row r="61" spans="1:29" s="236" customFormat="1" x14ac:dyDescent="0.25">
      <c r="A61" s="232"/>
      <c r="B61" s="302">
        <v>55</v>
      </c>
      <c r="C61" s="295" t="s">
        <v>1331</v>
      </c>
      <c r="D61" s="232" t="s">
        <v>1332</v>
      </c>
      <c r="E61" s="232" t="s">
        <v>85</v>
      </c>
      <c r="F61" s="232" t="s">
        <v>87</v>
      </c>
      <c r="G61" s="295">
        <v>1</v>
      </c>
      <c r="H61" s="296" t="s">
        <v>1548</v>
      </c>
      <c r="I61" s="297" t="s">
        <v>1067</v>
      </c>
      <c r="J61" s="232" t="s">
        <v>833</v>
      </c>
      <c r="K61" s="233">
        <v>17500</v>
      </c>
      <c r="L61" s="284">
        <f>IF(K61&gt;=Datos!$D$14,(Datos!$D$14*Datos!$C$14),IF(K61&lt;=Datos!$D$14,(K61*Datos!$C$14)))</f>
        <v>502.25</v>
      </c>
      <c r="M61" s="284">
        <f>IF(K61&gt;=Datos!$D$15,(Datos!$D$15*Datos!$C$15),IF(K61&lt;=Datos!$D$15,(K61*Datos!$C$15)))</f>
        <v>532</v>
      </c>
      <c r="N61" s="231"/>
      <c r="O61" s="231">
        <f t="shared" si="1"/>
        <v>16465.75</v>
      </c>
      <c r="P61" s="223">
        <f>IF(O61&lt;=Datos!$G$7,"0",IF(O61&lt;=Datos!$G$8,(O61-Datos!$F$8)*Datos!$I$6,IF(O61&lt;=Datos!$G$9,Datos!$I$8+(O61-Datos!$F$9)*Datos!$J$6,IF(O61&gt;=Datos!$F$10,(Datos!$I$8+Datos!$J$8)+(O61-Datos!$F$10)*Datos!$K$6))))-W61</f>
        <v>0</v>
      </c>
      <c r="Q61" s="231">
        <f>IFERROR(VLOOKUP(C61,[1]Hoja1!$D$5:$E$58,2,FALSE),0)</f>
        <v>0</v>
      </c>
      <c r="R61" s="234"/>
      <c r="S61" s="234"/>
      <c r="T61" s="234"/>
      <c r="U61" s="234"/>
      <c r="V61" s="234">
        <v>25</v>
      </c>
      <c r="W61" s="231"/>
      <c r="X61" s="234">
        <f t="shared" si="2"/>
        <v>1059.25</v>
      </c>
      <c r="Y61" s="234">
        <f t="shared" si="0"/>
        <v>16440.75</v>
      </c>
      <c r="Z61" s="296"/>
      <c r="AA61" s="298">
        <v>45139</v>
      </c>
      <c r="AB61" s="235"/>
      <c r="AC61" s="264"/>
    </row>
    <row r="62" spans="1:29" s="236" customFormat="1" x14ac:dyDescent="0.25">
      <c r="A62" s="232"/>
      <c r="B62" s="302">
        <v>56</v>
      </c>
      <c r="C62" s="295" t="s">
        <v>357</v>
      </c>
      <c r="D62" s="232" t="s">
        <v>598</v>
      </c>
      <c r="E62" s="232" t="s">
        <v>86</v>
      </c>
      <c r="F62" s="232" t="s">
        <v>87</v>
      </c>
      <c r="G62" s="295">
        <v>5</v>
      </c>
      <c r="H62" s="296" t="s">
        <v>1210</v>
      </c>
      <c r="I62" s="297" t="s">
        <v>1062</v>
      </c>
      <c r="J62" s="232" t="s">
        <v>832</v>
      </c>
      <c r="K62" s="233">
        <f>26250+8750</f>
        <v>35000</v>
      </c>
      <c r="L62" s="284">
        <f>IF(K62&gt;=Datos!$D$14,(Datos!$D$14*Datos!$C$14),IF(K62&lt;=Datos!$D$14,(K62*Datos!$C$14)))</f>
        <v>1004.5</v>
      </c>
      <c r="M62" s="284">
        <f>IF(K62&gt;=Datos!$D$15,(Datos!$D$15*Datos!$C$15),IF(K62&lt;=Datos!$D$15,(K62*Datos!$C$15)))</f>
        <v>1064</v>
      </c>
      <c r="N62" s="231"/>
      <c r="O62" s="231">
        <f t="shared" si="1"/>
        <v>32931.5</v>
      </c>
      <c r="P62" s="223">
        <f>IF(O62&lt;=Datos!$G$7,"0",IF(O62&lt;=Datos!$G$8,(O62-Datos!$F$8)*Datos!$I$6,IF(O62&lt;=Datos!$G$9,Datos!$I$8+(O62-Datos!$F$9)*Datos!$J$6,IF(O62&gt;=Datos!$F$10,(Datos!$I$8+Datos!$J$8)+(O62-Datos!$F$10)*Datos!$K$6))))-W62</f>
        <v>0</v>
      </c>
      <c r="Q62" s="231">
        <f>IFERROR(VLOOKUP(C62,[1]Hoja1!$D$5:$E$58,2,FALSE),0)</f>
        <v>0</v>
      </c>
      <c r="R62" s="234"/>
      <c r="S62" s="234"/>
      <c r="T62" s="234"/>
      <c r="U62" s="234"/>
      <c r="V62" s="234">
        <v>25</v>
      </c>
      <c r="W62" s="231"/>
      <c r="X62" s="234">
        <f t="shared" si="2"/>
        <v>2093.5</v>
      </c>
      <c r="Y62" s="234">
        <f t="shared" si="0"/>
        <v>32906.5</v>
      </c>
      <c r="Z62" s="296" t="s">
        <v>117</v>
      </c>
      <c r="AA62" s="298">
        <v>44197</v>
      </c>
      <c r="AB62" s="235"/>
      <c r="AC62" s="264"/>
    </row>
    <row r="63" spans="1:29" s="236" customFormat="1" x14ac:dyDescent="0.25">
      <c r="A63" s="232"/>
      <c r="B63" s="302">
        <v>57</v>
      </c>
      <c r="C63" s="295" t="s">
        <v>358</v>
      </c>
      <c r="D63" s="232" t="s">
        <v>599</v>
      </c>
      <c r="E63" s="232" t="s">
        <v>85</v>
      </c>
      <c r="F63" s="232" t="s">
        <v>87</v>
      </c>
      <c r="G63" s="295">
        <v>5</v>
      </c>
      <c r="H63" s="296" t="s">
        <v>1210</v>
      </c>
      <c r="I63" s="297" t="s">
        <v>1060</v>
      </c>
      <c r="J63" s="232" t="s">
        <v>837</v>
      </c>
      <c r="K63" s="233">
        <v>68250</v>
      </c>
      <c r="L63" s="284">
        <f>IF(K63&gt;=Datos!$D$14,(Datos!$D$14*Datos!$C$14),IF(K63&lt;=Datos!$D$14,(K63*Datos!$C$14)))</f>
        <v>1958.7750000000001</v>
      </c>
      <c r="M63" s="284">
        <f>IF(K63&gt;=Datos!$D$15,(Datos!$D$15*Datos!$C$15),IF(K63&lt;=Datos!$D$15,(K63*Datos!$C$15)))</f>
        <v>2074.8000000000002</v>
      </c>
      <c r="N63" s="231">
        <v>1715.46</v>
      </c>
      <c r="O63" s="231">
        <f t="shared" si="1"/>
        <v>62500.964999999997</v>
      </c>
      <c r="P63" s="223">
        <f>IF(O63&lt;=Datos!$G$7,"0",IF(O63&lt;=Datos!$G$8,(O63-Datos!$F$8)*Datos!$I$6,IF(O63&lt;=Datos!$G$9,Datos!$I$8+(O63-Datos!$F$9)*Datos!$J$6,IF(O63&gt;=Datos!$F$10,(Datos!$I$8+Datos!$J$8)+(O63-Datos!$F$10)*Datos!$K$6))))-W63</f>
        <v>4696.0686666666661</v>
      </c>
      <c r="Q63" s="231">
        <f>IFERROR(VLOOKUP(C63,[1]Hoja1!$D$5:$E$58,2,FALSE),0)</f>
        <v>0</v>
      </c>
      <c r="R63" s="234"/>
      <c r="S63" s="234"/>
      <c r="T63" s="234"/>
      <c r="U63" s="234"/>
      <c r="V63" s="234">
        <v>25</v>
      </c>
      <c r="W63" s="231"/>
      <c r="X63" s="234">
        <f t="shared" si="2"/>
        <v>10470.103666666666</v>
      </c>
      <c r="Y63" s="234">
        <f t="shared" si="0"/>
        <v>57779.896333333338</v>
      </c>
      <c r="Z63" s="296" t="s">
        <v>118</v>
      </c>
      <c r="AA63" s="298">
        <v>44197</v>
      </c>
      <c r="AB63" s="235"/>
      <c r="AC63" s="264"/>
    </row>
    <row r="64" spans="1:29" s="236" customFormat="1" x14ac:dyDescent="0.25">
      <c r="A64" s="232"/>
      <c r="B64" s="302">
        <v>58</v>
      </c>
      <c r="C64" s="295" t="s">
        <v>359</v>
      </c>
      <c r="D64" s="232" t="s">
        <v>600</v>
      </c>
      <c r="E64" s="232" t="s">
        <v>86</v>
      </c>
      <c r="F64" s="232" t="s">
        <v>87</v>
      </c>
      <c r="G64" s="295">
        <v>5</v>
      </c>
      <c r="H64" s="296" t="s">
        <v>1662</v>
      </c>
      <c r="I64" s="297" t="s">
        <v>1067</v>
      </c>
      <c r="J64" s="232" t="s">
        <v>837</v>
      </c>
      <c r="K64" s="233">
        <f>39000+21000</f>
        <v>60000</v>
      </c>
      <c r="L64" s="284">
        <f>IF(K64&gt;=Datos!$D$14,(Datos!$D$14*Datos!$C$14),IF(K64&lt;=Datos!$D$14,(K64*Datos!$C$14)))</f>
        <v>1722</v>
      </c>
      <c r="M64" s="284">
        <f>IF(K64&gt;=Datos!$D$15,(Datos!$D$15*Datos!$C$15),IF(K64&lt;=Datos!$D$15,(K64*Datos!$C$15)))</f>
        <v>1824</v>
      </c>
      <c r="N64" s="231"/>
      <c r="O64" s="231">
        <f t="shared" si="1"/>
        <v>56454</v>
      </c>
      <c r="P64" s="223">
        <f>IF(O64&lt;=Datos!$G$7,"0",IF(O64&lt;=Datos!$G$8,(O64-Datos!$F$8)*Datos!$I$6,IF(O64&lt;=Datos!$G$9,Datos!$I$8+(O64-Datos!$F$9)*Datos!$J$6,IF(O64&gt;=Datos!$F$10,(Datos!$I$8+Datos!$J$8)+(O64-Datos!$F$10)*Datos!$K$6))))-W64</f>
        <v>3486.6756666666661</v>
      </c>
      <c r="Q64" s="231">
        <f>IFERROR(VLOOKUP(C64,[1]Hoja1!$D$5:$E$58,2,FALSE),0)</f>
        <v>0</v>
      </c>
      <c r="R64" s="234"/>
      <c r="S64" s="234"/>
      <c r="T64" s="234"/>
      <c r="U64" s="234"/>
      <c r="V64" s="234">
        <v>25</v>
      </c>
      <c r="W64" s="231"/>
      <c r="X64" s="234">
        <f t="shared" si="2"/>
        <v>7057.6756666666661</v>
      </c>
      <c r="Y64" s="234">
        <f t="shared" si="0"/>
        <v>52942.324333333338</v>
      </c>
      <c r="Z64" s="296" t="s">
        <v>119</v>
      </c>
      <c r="AA64" s="298">
        <v>44197</v>
      </c>
      <c r="AB64" s="235"/>
      <c r="AC64" s="264"/>
    </row>
    <row r="65" spans="1:29" s="236" customFormat="1" x14ac:dyDescent="0.25">
      <c r="A65" s="232"/>
      <c r="B65" s="302">
        <v>59</v>
      </c>
      <c r="C65" s="295" t="s">
        <v>1329</v>
      </c>
      <c r="D65" s="232" t="s">
        <v>1330</v>
      </c>
      <c r="E65" s="232" t="s">
        <v>86</v>
      </c>
      <c r="F65" s="232" t="s">
        <v>87</v>
      </c>
      <c r="G65" s="295">
        <v>1</v>
      </c>
      <c r="H65" s="296" t="s">
        <v>1154</v>
      </c>
      <c r="I65" s="297" t="s">
        <v>1067</v>
      </c>
      <c r="J65" s="232" t="s">
        <v>841</v>
      </c>
      <c r="K65" s="233">
        <v>26000</v>
      </c>
      <c r="L65" s="284">
        <f>IF(K65&gt;=Datos!$D$14,(Datos!$D$14*Datos!$C$14),IF(K65&lt;=Datos!$D$14,(K65*Datos!$C$14)))</f>
        <v>746.2</v>
      </c>
      <c r="M65" s="284">
        <f>IF(K65&gt;=Datos!$D$15,(Datos!$D$15*Datos!$C$15),IF(K65&lt;=Datos!$D$15,(K65*Datos!$C$15)))</f>
        <v>790.4</v>
      </c>
      <c r="N65" s="231"/>
      <c r="O65" s="231">
        <f t="shared" si="1"/>
        <v>24463.4</v>
      </c>
      <c r="P65" s="223">
        <f>IF(O65&lt;=Datos!$G$7,"0",IF(O65&lt;=Datos!$G$8,(O65-Datos!$F$8)*Datos!$I$6,IF(O65&lt;=Datos!$G$9,Datos!$I$8+(O65-Datos!$F$9)*Datos!$J$6,IF(O65&gt;=Datos!$F$10,(Datos!$I$8+Datos!$J$8)+(O65-Datos!$F$10)*Datos!$K$6))))-W65</f>
        <v>0</v>
      </c>
      <c r="Q65" s="231">
        <v>0</v>
      </c>
      <c r="R65" s="234"/>
      <c r="S65" s="234"/>
      <c r="T65" s="234"/>
      <c r="U65" s="234"/>
      <c r="V65" s="234">
        <v>25</v>
      </c>
      <c r="W65" s="231"/>
      <c r="X65" s="234">
        <f t="shared" si="2"/>
        <v>1561.6</v>
      </c>
      <c r="Y65" s="234">
        <f t="shared" si="0"/>
        <v>24438.400000000001</v>
      </c>
      <c r="Z65" s="296"/>
      <c r="AA65" s="298">
        <v>45139</v>
      </c>
      <c r="AB65" s="235"/>
      <c r="AC65" s="264"/>
    </row>
    <row r="66" spans="1:29" s="236" customFormat="1" x14ac:dyDescent="0.25">
      <c r="A66" s="232"/>
      <c r="B66" s="302">
        <v>60</v>
      </c>
      <c r="C66" s="295" t="s">
        <v>360</v>
      </c>
      <c r="D66" s="232" t="s">
        <v>601</v>
      </c>
      <c r="E66" s="232" t="s">
        <v>85</v>
      </c>
      <c r="F66" s="232" t="s">
        <v>87</v>
      </c>
      <c r="G66" s="295">
        <v>1</v>
      </c>
      <c r="H66" s="296" t="s">
        <v>1548</v>
      </c>
      <c r="I66" s="297" t="s">
        <v>1061</v>
      </c>
      <c r="J66" s="232" t="s">
        <v>833</v>
      </c>
      <c r="K66" s="233">
        <f>13860+4140</f>
        <v>18000</v>
      </c>
      <c r="L66" s="284">
        <f>IF(K66&gt;=Datos!$D$14,(Datos!$D$14*Datos!$C$14),IF(K66&lt;=Datos!$D$14,(K66*Datos!$C$14)))</f>
        <v>516.6</v>
      </c>
      <c r="M66" s="284">
        <f>IF(K66&gt;=Datos!$D$15,(Datos!$D$15*Datos!$C$15),IF(K66&lt;=Datos!$D$15,(K66*Datos!$C$15)))</f>
        <v>547.20000000000005</v>
      </c>
      <c r="N66" s="231"/>
      <c r="O66" s="231">
        <f t="shared" si="1"/>
        <v>16936.2</v>
      </c>
      <c r="P66" s="223">
        <f>IF(O66&lt;=Datos!$G$7,"0",IF(O66&lt;=Datos!$G$8,(O66-Datos!$F$8)*Datos!$I$6,IF(O66&lt;=Datos!$G$9,Datos!$I$8+(O66-Datos!$F$9)*Datos!$J$6,IF(O66&gt;=Datos!$F$10,(Datos!$I$8+Datos!$J$8)+(O66-Datos!$F$10)*Datos!$K$6))))-W66</f>
        <v>0</v>
      </c>
      <c r="Q66" s="231">
        <v>8303.26</v>
      </c>
      <c r="R66" s="234"/>
      <c r="S66" s="234"/>
      <c r="T66" s="234"/>
      <c r="U66" s="234"/>
      <c r="V66" s="234">
        <v>25</v>
      </c>
      <c r="W66" s="231"/>
      <c r="X66" s="234">
        <f t="shared" si="2"/>
        <v>9392.0600000000013</v>
      </c>
      <c r="Y66" s="234">
        <f t="shared" si="0"/>
        <v>8607.9399999999987</v>
      </c>
      <c r="Z66" s="296" t="s">
        <v>120</v>
      </c>
      <c r="AA66" s="298">
        <v>44197</v>
      </c>
      <c r="AB66" s="235"/>
      <c r="AC66" s="264"/>
    </row>
    <row r="67" spans="1:29" s="236" customFormat="1" x14ac:dyDescent="0.25">
      <c r="A67" s="232"/>
      <c r="B67" s="302">
        <v>61</v>
      </c>
      <c r="C67" s="295" t="s">
        <v>361</v>
      </c>
      <c r="D67" s="232" t="s">
        <v>602</v>
      </c>
      <c r="E67" s="232" t="s">
        <v>85</v>
      </c>
      <c r="F67" s="232" t="s">
        <v>87</v>
      </c>
      <c r="G67" s="295">
        <v>5</v>
      </c>
      <c r="H67" s="296" t="s">
        <v>1210</v>
      </c>
      <c r="I67" s="297" t="s">
        <v>1061</v>
      </c>
      <c r="J67" s="232" t="s">
        <v>994</v>
      </c>
      <c r="K67" s="233">
        <f>20000+25000+15000</f>
        <v>60000</v>
      </c>
      <c r="L67" s="284">
        <f>IF(K67&gt;=Datos!$D$14,(Datos!$D$14*Datos!$C$14),IF(K67&lt;=Datos!$D$14,(K67*Datos!$C$14)))</f>
        <v>1722</v>
      </c>
      <c r="M67" s="284">
        <f>IF(K67&gt;=Datos!$D$15,(Datos!$D$15*Datos!$C$15),IF(K67&lt;=Datos!$D$15,(K67*Datos!$C$15)))</f>
        <v>1824</v>
      </c>
      <c r="N67" s="231"/>
      <c r="O67" s="231">
        <f t="shared" si="1"/>
        <v>56454</v>
      </c>
      <c r="P67" s="223">
        <f>IF(O67&lt;=Datos!$G$7,"0",IF(O67&lt;=Datos!$G$8,(O67-Datos!$F$8)*Datos!$I$6,IF(O67&lt;=Datos!$G$9,Datos!$I$8+(O67-Datos!$F$9)*Datos!$J$6,IF(O67&gt;=Datos!$F$10,(Datos!$I$8+Datos!$J$8)+(O67-Datos!$F$10)*Datos!$K$6))))-W67</f>
        <v>3486.6756666666661</v>
      </c>
      <c r="Q67" s="231">
        <f>IFERROR(VLOOKUP(C67,[1]Hoja1!$D$5:$E$58,2,FALSE),0)</f>
        <v>0</v>
      </c>
      <c r="R67" s="234"/>
      <c r="S67" s="234"/>
      <c r="T67" s="234"/>
      <c r="U67" s="234"/>
      <c r="V67" s="234">
        <v>25</v>
      </c>
      <c r="W67" s="231"/>
      <c r="X67" s="234">
        <f t="shared" si="2"/>
        <v>7057.6756666666661</v>
      </c>
      <c r="Y67" s="234">
        <f t="shared" si="0"/>
        <v>52942.324333333338</v>
      </c>
      <c r="Z67" s="296" t="s">
        <v>121</v>
      </c>
      <c r="AA67" s="298">
        <v>44197</v>
      </c>
      <c r="AB67" s="235"/>
      <c r="AC67" s="264"/>
    </row>
    <row r="68" spans="1:29" s="236" customFormat="1" x14ac:dyDescent="0.25">
      <c r="A68" s="232"/>
      <c r="B68" s="302">
        <v>62</v>
      </c>
      <c r="C68" s="295" t="s">
        <v>362</v>
      </c>
      <c r="D68" s="232" t="s">
        <v>603</v>
      </c>
      <c r="E68" s="232" t="s">
        <v>85</v>
      </c>
      <c r="F68" s="232" t="s">
        <v>87</v>
      </c>
      <c r="G68" s="295">
        <v>5</v>
      </c>
      <c r="H68" s="296" t="s">
        <v>1206</v>
      </c>
      <c r="I68" s="297" t="s">
        <v>1067</v>
      </c>
      <c r="J68" s="232" t="s">
        <v>1320</v>
      </c>
      <c r="K68" s="233">
        <f>25000+5000+5000</f>
        <v>35000</v>
      </c>
      <c r="L68" s="284">
        <f>IF(K68&gt;=Datos!$D$14,(Datos!$D$14*Datos!$C$14),IF(K68&lt;=Datos!$D$14,(K68*Datos!$C$14)))</f>
        <v>1004.5</v>
      </c>
      <c r="M68" s="284">
        <f>IF(K68&gt;=Datos!$D$15,(Datos!$D$15*Datos!$C$15),IF(K68&lt;=Datos!$D$15,(K68*Datos!$C$15)))</f>
        <v>1064</v>
      </c>
      <c r="N68" s="231"/>
      <c r="O68" s="231">
        <f t="shared" si="1"/>
        <v>32931.5</v>
      </c>
      <c r="P68" s="223">
        <f>IF(O68&lt;=Datos!$G$7,"0",IF(O68&lt;=Datos!$G$8,(O68-Datos!$F$8)*Datos!$I$6,IF(O68&lt;=Datos!$G$9,Datos!$I$8+(O68-Datos!$F$9)*Datos!$J$6,IF(O68&gt;=Datos!$F$10,(Datos!$I$8+Datos!$J$8)+(O68-Datos!$F$10)*Datos!$K$6))))-W68</f>
        <v>0</v>
      </c>
      <c r="Q68" s="231">
        <v>14025.83</v>
      </c>
      <c r="R68" s="234"/>
      <c r="S68" s="234"/>
      <c r="T68" s="234"/>
      <c r="U68" s="234"/>
      <c r="V68" s="234">
        <v>25</v>
      </c>
      <c r="W68" s="231"/>
      <c r="X68" s="234">
        <f t="shared" si="2"/>
        <v>16119.33</v>
      </c>
      <c r="Y68" s="234">
        <f t="shared" si="0"/>
        <v>18880.669999999998</v>
      </c>
      <c r="Z68" s="296" t="s">
        <v>122</v>
      </c>
      <c r="AA68" s="298">
        <v>44197</v>
      </c>
      <c r="AB68" s="235"/>
      <c r="AC68" s="264"/>
    </row>
    <row r="69" spans="1:29" s="236" customFormat="1" x14ac:dyDescent="0.25">
      <c r="A69" s="232"/>
      <c r="B69" s="302">
        <v>63</v>
      </c>
      <c r="C69" s="295" t="s">
        <v>363</v>
      </c>
      <c r="D69" s="232" t="s">
        <v>604</v>
      </c>
      <c r="E69" s="232" t="s">
        <v>85</v>
      </c>
      <c r="F69" s="232" t="s">
        <v>87</v>
      </c>
      <c r="G69" s="295">
        <v>5</v>
      </c>
      <c r="H69" s="296" t="s">
        <v>1210</v>
      </c>
      <c r="I69" s="297" t="s">
        <v>1062</v>
      </c>
      <c r="J69" s="232" t="s">
        <v>832</v>
      </c>
      <c r="K69" s="233">
        <f>25000+10000</f>
        <v>35000</v>
      </c>
      <c r="L69" s="284">
        <f>IF(K69&gt;=Datos!$D$14,(Datos!$D$14*Datos!$C$14),IF(K69&lt;=Datos!$D$14,(K69*Datos!$C$14)))</f>
        <v>1004.5</v>
      </c>
      <c r="M69" s="284">
        <f>IF(K69&gt;=Datos!$D$15,(Datos!$D$15*Datos!$C$15),IF(K69&lt;=Datos!$D$15,(K69*Datos!$C$15)))</f>
        <v>1064</v>
      </c>
      <c r="N69" s="231"/>
      <c r="O69" s="231">
        <f t="shared" si="1"/>
        <v>32931.5</v>
      </c>
      <c r="P69" s="223">
        <f>IF(O69&lt;=Datos!$G$7,"0",IF(O69&lt;=Datos!$G$8,(O69-Datos!$F$8)*Datos!$I$6,IF(O69&lt;=Datos!$G$9,Datos!$I$8+(O69-Datos!$F$9)*Datos!$J$6,IF(O69&gt;=Datos!$F$10,(Datos!$I$8+Datos!$J$8)+(O69-Datos!$F$10)*Datos!$K$6))))-W69</f>
        <v>0</v>
      </c>
      <c r="Q69" s="231">
        <f>IFERROR(VLOOKUP(C69,[1]Hoja1!$D$5:$E$58,2,FALSE),0)</f>
        <v>0</v>
      </c>
      <c r="R69" s="234"/>
      <c r="S69" s="234"/>
      <c r="T69" s="234"/>
      <c r="U69" s="234"/>
      <c r="V69" s="234">
        <v>25</v>
      </c>
      <c r="W69" s="231"/>
      <c r="X69" s="234">
        <f t="shared" si="2"/>
        <v>2093.5</v>
      </c>
      <c r="Y69" s="234">
        <f t="shared" si="0"/>
        <v>32906.5</v>
      </c>
      <c r="Z69" s="296" t="s">
        <v>123</v>
      </c>
      <c r="AA69" s="298">
        <v>44349</v>
      </c>
      <c r="AB69" s="235"/>
      <c r="AC69" s="264"/>
    </row>
    <row r="70" spans="1:29" s="236" customFormat="1" x14ac:dyDescent="0.25">
      <c r="A70" s="232"/>
      <c r="B70" s="302">
        <v>64</v>
      </c>
      <c r="C70" s="295" t="s">
        <v>1577</v>
      </c>
      <c r="D70" s="232" t="s">
        <v>1578</v>
      </c>
      <c r="E70" s="232" t="s">
        <v>86</v>
      </c>
      <c r="F70" s="232" t="s">
        <v>87</v>
      </c>
      <c r="G70" s="295">
        <v>1</v>
      </c>
      <c r="H70" s="296" t="s">
        <v>1579</v>
      </c>
      <c r="I70" s="297" t="s">
        <v>1062</v>
      </c>
      <c r="J70" s="232" t="s">
        <v>841</v>
      </c>
      <c r="K70" s="233">
        <v>33000</v>
      </c>
      <c r="L70" s="284">
        <f>IF(K70&gt;=Datos!$D$14,(Datos!$D$14*Datos!$C$14),IF(K70&lt;=Datos!$D$14,(K70*Datos!$C$14)))</f>
        <v>947.1</v>
      </c>
      <c r="M70" s="284">
        <f>IF(K70&gt;=Datos!$D$15,(Datos!$D$15*Datos!$C$15),IF(K70&lt;=Datos!$D$15,(K70*Datos!$C$15)))</f>
        <v>1003.2</v>
      </c>
      <c r="N70" s="231"/>
      <c r="O70" s="231">
        <f t="shared" si="1"/>
        <v>31049.7</v>
      </c>
      <c r="P70" s="223">
        <f>IF(O70&lt;=Datos!$G$7,"0",IF(O70&lt;=Datos!$G$8,(O70-Datos!$F$8)*Datos!$I$6,IF(O70&lt;=Datos!$G$9,Datos!$I$8+(O70-Datos!$F$9)*Datos!$J$6,IF(O70&gt;=Datos!$F$10,(Datos!$I$8+Datos!$J$8)+(O70-Datos!$F$10)*Datos!$K$6))))-W70</f>
        <v>0</v>
      </c>
      <c r="Q70" s="231">
        <f>IFERROR(VLOOKUP(C70,[1]Hoja1!$D$5:$E$58,2,FALSE),0)</f>
        <v>0</v>
      </c>
      <c r="R70" s="234"/>
      <c r="S70" s="234"/>
      <c r="T70" s="234"/>
      <c r="U70" s="234"/>
      <c r="V70" s="234">
        <v>25</v>
      </c>
      <c r="W70" s="231"/>
      <c r="X70" s="234">
        <f t="shared" si="2"/>
        <v>1975.3000000000002</v>
      </c>
      <c r="Y70" s="234">
        <f t="shared" si="0"/>
        <v>31024.7</v>
      </c>
      <c r="Z70" s="296">
        <v>9607165364</v>
      </c>
      <c r="AA70" s="298">
        <v>45444</v>
      </c>
      <c r="AB70" s="235"/>
      <c r="AC70" s="264"/>
    </row>
    <row r="71" spans="1:29" s="236" customFormat="1" x14ac:dyDescent="0.25">
      <c r="A71" s="232"/>
      <c r="B71" s="302">
        <v>65</v>
      </c>
      <c r="C71" s="295" t="s">
        <v>1456</v>
      </c>
      <c r="D71" s="232" t="s">
        <v>1420</v>
      </c>
      <c r="E71" s="232" t="s">
        <v>86</v>
      </c>
      <c r="F71" s="232" t="s">
        <v>87</v>
      </c>
      <c r="G71" s="295">
        <v>1</v>
      </c>
      <c r="H71" s="296" t="s">
        <v>1636</v>
      </c>
      <c r="I71" s="297" t="s">
        <v>1067</v>
      </c>
      <c r="J71" s="232" t="s">
        <v>862</v>
      </c>
      <c r="K71" s="233">
        <v>26000</v>
      </c>
      <c r="L71" s="284">
        <f>IF(K71&gt;=Datos!$D$14,(Datos!$D$14*Datos!$C$14),IF(K71&lt;=Datos!$D$14,(K71*Datos!$C$14)))</f>
        <v>746.2</v>
      </c>
      <c r="M71" s="284">
        <f>IF(K71&gt;=Datos!$D$15,(Datos!$D$15*Datos!$C$15),IF(K71&lt;=Datos!$D$15,(K71*Datos!$C$15)))</f>
        <v>790.4</v>
      </c>
      <c r="N71" s="231"/>
      <c r="O71" s="231">
        <f t="shared" si="1"/>
        <v>24463.4</v>
      </c>
      <c r="P71" s="223">
        <f>IF(O71&lt;=Datos!$G$7,"0",IF(O71&lt;=Datos!$G$8,(O71-Datos!$F$8)*Datos!$I$6,IF(O71&lt;=Datos!$G$9,Datos!$I$8+(O71-Datos!$F$9)*Datos!$J$6,IF(O71&gt;=Datos!$F$10,(Datos!$I$8+Datos!$J$8)+(O71-Datos!$F$10)*Datos!$K$6))))-W71</f>
        <v>0</v>
      </c>
      <c r="Q71" s="231">
        <f>IFERROR(VLOOKUP(C71,[1]Hoja1!$D$5:$E$58,2,FALSE),0)</f>
        <v>0</v>
      </c>
      <c r="R71" s="234"/>
      <c r="S71" s="234"/>
      <c r="T71" s="234"/>
      <c r="U71" s="234"/>
      <c r="V71" s="234">
        <v>25</v>
      </c>
      <c r="W71" s="231"/>
      <c r="X71" s="234">
        <f t="shared" si="2"/>
        <v>1561.6</v>
      </c>
      <c r="Y71" s="234">
        <f t="shared" si="0"/>
        <v>24438.400000000001</v>
      </c>
      <c r="Z71" s="296">
        <v>9606355142</v>
      </c>
      <c r="AA71" s="298">
        <v>45231</v>
      </c>
      <c r="AB71" s="235"/>
      <c r="AC71" s="264"/>
    </row>
    <row r="72" spans="1:29" s="236" customFormat="1" x14ac:dyDescent="0.25">
      <c r="A72" s="232"/>
      <c r="B72" s="302">
        <v>66</v>
      </c>
      <c r="C72" s="295" t="s">
        <v>364</v>
      </c>
      <c r="D72" s="232" t="s">
        <v>605</v>
      </c>
      <c r="E72" s="232" t="s">
        <v>86</v>
      </c>
      <c r="F72" s="232" t="s">
        <v>87</v>
      </c>
      <c r="G72" s="295">
        <v>1</v>
      </c>
      <c r="H72" s="296" t="s">
        <v>1828</v>
      </c>
      <c r="I72" s="297" t="s">
        <v>1060</v>
      </c>
      <c r="J72" s="232" t="s">
        <v>844</v>
      </c>
      <c r="K72" s="233">
        <v>22821.75</v>
      </c>
      <c r="L72" s="284">
        <f>IF(K72&gt;=Datos!$D$14,(Datos!$D$14*Datos!$C$14),IF(K72&lt;=Datos!$D$14,(K72*Datos!$C$14)))</f>
        <v>654.98422500000004</v>
      </c>
      <c r="M72" s="284">
        <f>IF(K72&gt;=Datos!$D$15,(Datos!$D$15*Datos!$C$15),IF(K72&lt;=Datos!$D$15,(K72*Datos!$C$15)))</f>
        <v>693.78120000000001</v>
      </c>
      <c r="N72" s="231">
        <v>1715.46</v>
      </c>
      <c r="O72" s="231">
        <f t="shared" si="1"/>
        <v>19757.524574999999</v>
      </c>
      <c r="P72" s="223">
        <f>IF(O72&lt;=Datos!$G$7,"0",IF(O72&lt;=Datos!$G$8,(O72-Datos!$F$8)*Datos!$I$6,IF(O72&lt;=Datos!$G$9,Datos!$I$8+(O72-Datos!$F$9)*Datos!$J$6,IF(O72&gt;=Datos!$F$10,(Datos!$I$8+Datos!$J$8)+(O72-Datos!$F$10)*Datos!$K$6))))-W72</f>
        <v>0</v>
      </c>
      <c r="Q72" s="231">
        <v>1140</v>
      </c>
      <c r="R72" s="234"/>
      <c r="S72" s="234"/>
      <c r="T72" s="234"/>
      <c r="U72" s="234"/>
      <c r="V72" s="234">
        <v>25</v>
      </c>
      <c r="W72" s="231"/>
      <c r="X72" s="234">
        <f t="shared" si="2"/>
        <v>4229.2254250000005</v>
      </c>
      <c r="Y72" s="234">
        <f t="shared" si="0"/>
        <v>18592.524574999999</v>
      </c>
      <c r="Z72" s="296" t="s">
        <v>124</v>
      </c>
      <c r="AA72" s="298">
        <v>44197</v>
      </c>
      <c r="AB72" s="235"/>
      <c r="AC72" s="264"/>
    </row>
    <row r="73" spans="1:29" s="236" customFormat="1" x14ac:dyDescent="0.25">
      <c r="A73" s="232"/>
      <c r="B73" s="302">
        <v>67</v>
      </c>
      <c r="C73" s="295" t="s">
        <v>367</v>
      </c>
      <c r="D73" s="232" t="s">
        <v>608</v>
      </c>
      <c r="E73" s="232" t="s">
        <v>85</v>
      </c>
      <c r="F73" s="232" t="s">
        <v>87</v>
      </c>
      <c r="G73" s="295">
        <v>4</v>
      </c>
      <c r="H73" s="296" t="s">
        <v>1211</v>
      </c>
      <c r="I73" s="297" t="s">
        <v>1061</v>
      </c>
      <c r="J73" s="232" t="s">
        <v>848</v>
      </c>
      <c r="K73" s="233">
        <v>71662.5</v>
      </c>
      <c r="L73" s="284">
        <f>IF(K73&gt;=Datos!$D$14,(Datos!$D$14*Datos!$C$14),IF(K73&lt;=Datos!$D$14,(K73*Datos!$C$14)))</f>
        <v>2056.7137499999999</v>
      </c>
      <c r="M73" s="284">
        <f>IF(K73&gt;=Datos!$D$15,(Datos!$D$15*Datos!$C$15),IF(K73&lt;=Datos!$D$15,(K73*Datos!$C$15)))</f>
        <v>2178.54</v>
      </c>
      <c r="N73" s="231"/>
      <c r="O73" s="231">
        <f t="shared" si="1"/>
        <v>67427.246249999997</v>
      </c>
      <c r="P73" s="223">
        <f>IF(O73&lt;=Datos!$G$7,"0",IF(O73&lt;=Datos!$G$8,(O73-Datos!$F$8)*Datos!$I$6,IF(O73&lt;=Datos!$G$9,Datos!$I$8+(O73-Datos!$F$9)*Datos!$J$6,IF(O73&gt;=Datos!$F$10,(Datos!$I$8+Datos!$J$8)+(O73-Datos!$F$10)*Datos!$K$6))))-W73</f>
        <v>5681.3249166666656</v>
      </c>
      <c r="Q73" s="231">
        <f>IFERROR(VLOOKUP(C73,[1]Hoja1!$D$5:$E$58,2,FALSE),0)</f>
        <v>0</v>
      </c>
      <c r="R73" s="234"/>
      <c r="S73" s="234"/>
      <c r="T73" s="234"/>
      <c r="U73" s="234"/>
      <c r="V73" s="234">
        <v>25</v>
      </c>
      <c r="W73" s="231"/>
      <c r="X73" s="234">
        <f t="shared" si="2"/>
        <v>9941.5786666666645</v>
      </c>
      <c r="Y73" s="234">
        <f t="shared" si="0"/>
        <v>61720.921333333332</v>
      </c>
      <c r="Z73" s="296" t="s">
        <v>127</v>
      </c>
      <c r="AA73" s="298">
        <v>44197</v>
      </c>
      <c r="AB73" s="235"/>
      <c r="AC73" s="264"/>
    </row>
    <row r="74" spans="1:29" s="236" customFormat="1" x14ac:dyDescent="0.25">
      <c r="A74" s="232"/>
      <c r="B74" s="302">
        <v>68</v>
      </c>
      <c r="C74" s="295" t="s">
        <v>1437</v>
      </c>
      <c r="D74" s="232" t="s">
        <v>1438</v>
      </c>
      <c r="E74" s="232" t="s">
        <v>85</v>
      </c>
      <c r="F74" s="232" t="s">
        <v>87</v>
      </c>
      <c r="G74" s="295">
        <v>5</v>
      </c>
      <c r="H74" s="296" t="s">
        <v>1662</v>
      </c>
      <c r="I74" s="297" t="s">
        <v>1067</v>
      </c>
      <c r="J74" s="232" t="s">
        <v>972</v>
      </c>
      <c r="K74" s="233">
        <v>60000</v>
      </c>
      <c r="L74" s="284">
        <f>IF(K74&gt;=Datos!$D$14,(Datos!$D$14*Datos!$C$14),IF(K74&lt;=Datos!$D$14,(K74*Datos!$C$14)))</f>
        <v>1722</v>
      </c>
      <c r="M74" s="284">
        <f>IF(K74&gt;=Datos!$D$15,(Datos!$D$15*Datos!$C$15),IF(K74&lt;=Datos!$D$15,(K74*Datos!$C$15)))</f>
        <v>1824</v>
      </c>
      <c r="N74" s="231">
        <v>1715.46</v>
      </c>
      <c r="O74" s="231">
        <f t="shared" si="1"/>
        <v>54738.54</v>
      </c>
      <c r="P74" s="223">
        <f>IF(O74&lt;=Datos!$G$7,"0",IF(O74&lt;=Datos!$G$8,(O74-Datos!$F$8)*Datos!$I$6,IF(O74&lt;=Datos!$G$9,Datos!$I$8+(O74-Datos!$F$9)*Datos!$J$6,IF(O74&gt;=Datos!$F$10,(Datos!$I$8+Datos!$J$8)+(O74-Datos!$F$10)*Datos!$K$6))))-W74</f>
        <v>3143.5836666666664</v>
      </c>
      <c r="Q74" s="231"/>
      <c r="R74" s="234"/>
      <c r="S74" s="234"/>
      <c r="T74" s="234"/>
      <c r="U74" s="234"/>
      <c r="V74" s="234">
        <v>25</v>
      </c>
      <c r="W74" s="231"/>
      <c r="X74" s="234">
        <f t="shared" si="2"/>
        <v>8430.0436666666665</v>
      </c>
      <c r="Y74" s="234">
        <f t="shared" si="0"/>
        <v>51569.956333333335</v>
      </c>
      <c r="Z74" s="296">
        <v>9606360680</v>
      </c>
      <c r="AA74" s="298">
        <v>45231</v>
      </c>
      <c r="AB74" s="235"/>
      <c r="AC74" s="264"/>
    </row>
    <row r="75" spans="1:29" s="236" customFormat="1" x14ac:dyDescent="0.25">
      <c r="A75" s="232"/>
      <c r="B75" s="302">
        <v>69</v>
      </c>
      <c r="C75" s="295" t="s">
        <v>368</v>
      </c>
      <c r="D75" s="232" t="s">
        <v>609</v>
      </c>
      <c r="E75" s="232" t="s">
        <v>85</v>
      </c>
      <c r="F75" s="232" t="s">
        <v>87</v>
      </c>
      <c r="G75" s="295">
        <v>1</v>
      </c>
      <c r="H75" s="296" t="s">
        <v>1548</v>
      </c>
      <c r="I75" s="297" t="s">
        <v>1067</v>
      </c>
      <c r="J75" s="232" t="s">
        <v>833</v>
      </c>
      <c r="K75" s="233">
        <f>12000+6000</f>
        <v>18000</v>
      </c>
      <c r="L75" s="284">
        <f>IF(K75&gt;=Datos!$D$14,(Datos!$D$14*Datos!$C$14),IF(K75&lt;=Datos!$D$14,(K75*Datos!$C$14)))</f>
        <v>516.6</v>
      </c>
      <c r="M75" s="284">
        <f>IF(K75&gt;=Datos!$D$15,(Datos!$D$15*Datos!$C$15),IF(K75&lt;=Datos!$D$15,(K75*Datos!$C$15)))</f>
        <v>547.20000000000005</v>
      </c>
      <c r="N75" s="231"/>
      <c r="O75" s="231">
        <f t="shared" si="1"/>
        <v>16936.2</v>
      </c>
      <c r="P75" s="223">
        <f>IF(O75&lt;=Datos!$G$7,"0",IF(O75&lt;=Datos!$G$8,(O75-Datos!$F$8)*Datos!$I$6,IF(O75&lt;=Datos!$G$9,Datos!$I$8+(O75-Datos!$F$9)*Datos!$J$6,IF(O75&gt;=Datos!$F$10,(Datos!$I$8+Datos!$J$8)+(O75-Datos!$F$10)*Datos!$K$6))))-W75</f>
        <v>0</v>
      </c>
      <c r="Q75" s="231">
        <f>IFERROR(VLOOKUP(C75,[1]Hoja1!$D$5:$E$58,2,FALSE),0)</f>
        <v>2000</v>
      </c>
      <c r="R75" s="234"/>
      <c r="S75" s="234"/>
      <c r="T75" s="234"/>
      <c r="U75" s="234"/>
      <c r="V75" s="234">
        <v>25</v>
      </c>
      <c r="W75" s="231"/>
      <c r="X75" s="234">
        <f t="shared" si="2"/>
        <v>3088.8</v>
      </c>
      <c r="Y75" s="234">
        <f t="shared" ref="Y75:Y148" si="9">+K75-X75</f>
        <v>14911.2</v>
      </c>
      <c r="Z75" s="296" t="s">
        <v>128</v>
      </c>
      <c r="AA75" s="298">
        <v>44197</v>
      </c>
      <c r="AB75" s="235"/>
      <c r="AC75" s="264"/>
    </row>
    <row r="76" spans="1:29" s="236" customFormat="1" x14ac:dyDescent="0.25">
      <c r="A76" s="232"/>
      <c r="B76" s="302">
        <v>70</v>
      </c>
      <c r="C76" s="295" t="s">
        <v>369</v>
      </c>
      <c r="D76" s="297" t="s">
        <v>610</v>
      </c>
      <c r="E76" s="232" t="s">
        <v>85</v>
      </c>
      <c r="F76" s="232" t="s">
        <v>87</v>
      </c>
      <c r="G76" s="295">
        <v>1</v>
      </c>
      <c r="H76" s="296" t="s">
        <v>1379</v>
      </c>
      <c r="I76" s="297" t="s">
        <v>1062</v>
      </c>
      <c r="J76" s="232" t="s">
        <v>845</v>
      </c>
      <c r="K76" s="233">
        <v>26000</v>
      </c>
      <c r="L76" s="284">
        <f>IF(K76&gt;=Datos!$D$14,(Datos!$D$14*Datos!$C$14),IF(K76&lt;=Datos!$D$14,(K76*Datos!$C$14)))</f>
        <v>746.2</v>
      </c>
      <c r="M76" s="284">
        <f>IF(K76&gt;=Datos!$D$15,(Datos!$D$15*Datos!$C$15),IF(K76&lt;=Datos!$D$15,(K76*Datos!$C$15)))</f>
        <v>790.4</v>
      </c>
      <c r="N76" s="231"/>
      <c r="O76" s="231">
        <f t="shared" si="1"/>
        <v>24463.4</v>
      </c>
      <c r="P76" s="223">
        <f>IF(O76&lt;=Datos!$G$7,"0",IF(O76&lt;=Datos!$G$8,(O76-Datos!$F$8)*Datos!$I$6,IF(O76&lt;=Datos!$G$9,Datos!$I$8+(O76-Datos!$F$9)*Datos!$J$6,IF(O76&gt;=Datos!$F$10,(Datos!$I$8+Datos!$J$8)+(O76-Datos!$F$10)*Datos!$K$6))))-W76</f>
        <v>0</v>
      </c>
      <c r="Q76" s="231">
        <f>IFERROR(VLOOKUP(C76,[1]Hoja1!$D$5:$E$58,2,FALSE),0)</f>
        <v>0</v>
      </c>
      <c r="R76" s="234"/>
      <c r="S76" s="234"/>
      <c r="T76" s="234"/>
      <c r="U76" s="234"/>
      <c r="V76" s="234">
        <v>25</v>
      </c>
      <c r="W76" s="231"/>
      <c r="X76" s="234">
        <f t="shared" ref="X76:X149" si="10">SUM(P76:V76)+(L76+M76+N76)-W76</f>
        <v>1561.6</v>
      </c>
      <c r="Y76" s="234">
        <f t="shared" si="9"/>
        <v>24438.400000000001</v>
      </c>
      <c r="Z76" s="296" t="s">
        <v>129</v>
      </c>
      <c r="AA76" s="298">
        <v>44197</v>
      </c>
      <c r="AB76" s="235"/>
      <c r="AC76" s="264"/>
    </row>
    <row r="77" spans="1:29" s="236" customFormat="1" x14ac:dyDescent="0.25">
      <c r="A77" s="232"/>
      <c r="B77" s="302">
        <v>71</v>
      </c>
      <c r="C77" s="295" t="s">
        <v>366</v>
      </c>
      <c r="D77" s="232" t="s">
        <v>607</v>
      </c>
      <c r="E77" s="232" t="s">
        <v>85</v>
      </c>
      <c r="F77" s="232" t="s">
        <v>87</v>
      </c>
      <c r="G77" s="295">
        <v>1</v>
      </c>
      <c r="H77" s="296" t="s">
        <v>1548</v>
      </c>
      <c r="I77" s="297" t="s">
        <v>1062</v>
      </c>
      <c r="J77" s="232" t="s">
        <v>833</v>
      </c>
      <c r="K77" s="233">
        <f>12000+6000</f>
        <v>18000</v>
      </c>
      <c r="L77" s="284">
        <f>IF(K77&gt;=Datos!$D$14,(Datos!$D$14*Datos!$C$14),IF(K77&lt;=Datos!$D$14,(K77*Datos!$C$14)))</f>
        <v>516.6</v>
      </c>
      <c r="M77" s="284">
        <f>IF(K77&gt;=Datos!$D$15,(Datos!$D$15*Datos!$C$15),IF(K77&lt;=Datos!$D$15,(K77*Datos!$C$15)))</f>
        <v>547.20000000000005</v>
      </c>
      <c r="N77" s="231"/>
      <c r="O77" s="231">
        <f t="shared" si="1"/>
        <v>16936.2</v>
      </c>
      <c r="P77" s="223">
        <f>IF(O77&lt;=Datos!$G$7,"0",IF(O77&lt;=Datos!$G$8,(O77-Datos!$F$8)*Datos!$I$6,IF(O77&lt;=Datos!$G$9,Datos!$I$8+(O77-Datos!$F$9)*Datos!$J$6,IF(O77&gt;=Datos!$F$10,(Datos!$I$8+Datos!$J$8)+(O77-Datos!$F$10)*Datos!$K$6))))-W77</f>
        <v>0</v>
      </c>
      <c r="Q77" s="231">
        <f>IFERROR(VLOOKUP(C77,[1]Hoja1!$D$5:$E$58,2,FALSE),0)</f>
        <v>0</v>
      </c>
      <c r="R77" s="234"/>
      <c r="S77" s="234"/>
      <c r="T77" s="234"/>
      <c r="U77" s="234"/>
      <c r="V77" s="234">
        <v>25</v>
      </c>
      <c r="W77" s="231"/>
      <c r="X77" s="234">
        <f t="shared" si="10"/>
        <v>1088.8000000000002</v>
      </c>
      <c r="Y77" s="234">
        <f t="shared" si="9"/>
        <v>16911.2</v>
      </c>
      <c r="Z77" s="296" t="s">
        <v>126</v>
      </c>
      <c r="AA77" s="298">
        <v>44197</v>
      </c>
      <c r="AB77" s="235"/>
      <c r="AC77" s="264"/>
    </row>
    <row r="78" spans="1:29" s="236" customFormat="1" x14ac:dyDescent="0.25">
      <c r="A78" s="232"/>
      <c r="B78" s="302">
        <v>72</v>
      </c>
      <c r="C78" s="295" t="s">
        <v>908</v>
      </c>
      <c r="D78" s="232" t="s">
        <v>909</v>
      </c>
      <c r="E78" s="232" t="s">
        <v>85</v>
      </c>
      <c r="F78" s="232" t="s">
        <v>87</v>
      </c>
      <c r="G78" s="295">
        <v>4</v>
      </c>
      <c r="H78" s="296" t="s">
        <v>1211</v>
      </c>
      <c r="I78" s="297" t="s">
        <v>1061</v>
      </c>
      <c r="J78" s="232" t="s">
        <v>843</v>
      </c>
      <c r="K78" s="233">
        <f>28000+5422.03</f>
        <v>33422.03</v>
      </c>
      <c r="L78" s="284">
        <f>IF(K78&gt;=Datos!$D$14,(Datos!$D$14*Datos!$C$14),IF(K78&lt;=Datos!$D$14,(K78*Datos!$C$14)))</f>
        <v>959.21226100000001</v>
      </c>
      <c r="M78" s="284">
        <f>IF(K78&gt;=Datos!$D$15,(Datos!$D$15*Datos!$C$15),IF(K78&lt;=Datos!$D$15,(K78*Datos!$C$15)))</f>
        <v>1016.029712</v>
      </c>
      <c r="N78" s="231"/>
      <c r="O78" s="231">
        <f t="shared" si="1"/>
        <v>31446.788026999999</v>
      </c>
      <c r="P78" s="223">
        <f>IF(O78&lt;=Datos!$G$7,"0",IF(O78&lt;=Datos!$G$8,(O78-Datos!$F$8)*Datos!$I$6,IF(O78&lt;=Datos!$G$9,Datos!$I$8+(O78-Datos!$F$9)*Datos!$J$6,IF(O78&gt;=Datos!$F$10,(Datos!$I$8+Datos!$J$8)+(O78-Datos!$F$10)*Datos!$K$6))))-W78</f>
        <v>0</v>
      </c>
      <c r="Q78" s="231">
        <v>0</v>
      </c>
      <c r="R78" s="234"/>
      <c r="S78" s="234"/>
      <c r="T78" s="234"/>
      <c r="U78" s="234"/>
      <c r="V78" s="234">
        <v>25</v>
      </c>
      <c r="W78" s="231"/>
      <c r="X78" s="234">
        <f t="shared" si="10"/>
        <v>2000.2419730000001</v>
      </c>
      <c r="Y78" s="234">
        <f t="shared" si="9"/>
        <v>31421.788026999999</v>
      </c>
      <c r="Z78" s="296"/>
      <c r="AA78" s="298">
        <v>44621</v>
      </c>
      <c r="AB78" s="235"/>
      <c r="AC78" s="264"/>
    </row>
    <row r="79" spans="1:29" s="236" customFormat="1" x14ac:dyDescent="0.25">
      <c r="A79" s="232"/>
      <c r="B79" s="302">
        <v>73</v>
      </c>
      <c r="C79" s="295" t="s">
        <v>371</v>
      </c>
      <c r="D79" s="297" t="s">
        <v>612</v>
      </c>
      <c r="E79" s="232" t="s">
        <v>85</v>
      </c>
      <c r="F79" s="232" t="s">
        <v>87</v>
      </c>
      <c r="G79" s="295">
        <v>5</v>
      </c>
      <c r="H79" s="296" t="s">
        <v>1271</v>
      </c>
      <c r="I79" s="297" t="s">
        <v>1060</v>
      </c>
      <c r="J79" s="232" t="s">
        <v>1416</v>
      </c>
      <c r="K79" s="233">
        <v>120000</v>
      </c>
      <c r="L79" s="284">
        <f>IF(K79&gt;=Datos!$D$14,(Datos!$D$14*Datos!$C$14),IF(K79&lt;=Datos!$D$14,(K79*Datos!$C$14)))</f>
        <v>3444</v>
      </c>
      <c r="M79" s="284">
        <f>IF(K79&gt;=Datos!$D$15,(Datos!$D$15*Datos!$C$15),IF(K79&lt;=Datos!$D$15,(K79*Datos!$C$15)))</f>
        <v>3648</v>
      </c>
      <c r="N79" s="231">
        <f>1715.46*2</f>
        <v>3430.92</v>
      </c>
      <c r="O79" s="231">
        <f t="shared" si="1"/>
        <v>109477.08</v>
      </c>
      <c r="P79" s="223">
        <f>IF(O79&lt;=Datos!$G$7,"0",IF(O79&lt;=Datos!$G$8,(O79-Datos!$F$8)*Datos!$I$6,IF(O79&lt;=Datos!$G$9,Datos!$I$8+(O79-Datos!$F$9)*Datos!$J$6,IF(O79&gt;=Datos!$F$10,(Datos!$I$8+Datos!$J$8)+(O79-Datos!$F$10)*Datos!$K$6))))-W79</f>
        <v>15952.130666666668</v>
      </c>
      <c r="Q79" s="231">
        <f>IFERROR(VLOOKUP(C79,[1]Hoja1!$D$5:$E$58,2,FALSE),0)</f>
        <v>0</v>
      </c>
      <c r="R79" s="234"/>
      <c r="S79" s="234"/>
      <c r="T79" s="234"/>
      <c r="U79" s="234"/>
      <c r="V79" s="234">
        <v>25</v>
      </c>
      <c r="W79" s="231"/>
      <c r="X79" s="234">
        <f t="shared" si="10"/>
        <v>26500.05066666667</v>
      </c>
      <c r="Y79" s="234">
        <f t="shared" si="9"/>
        <v>93499.949333333323</v>
      </c>
      <c r="Z79" s="296" t="s">
        <v>131</v>
      </c>
      <c r="AA79" s="298">
        <v>44197</v>
      </c>
      <c r="AB79" s="235"/>
      <c r="AC79" s="264"/>
    </row>
    <row r="80" spans="1:29" s="236" customFormat="1" x14ac:dyDescent="0.25">
      <c r="A80" s="232"/>
      <c r="B80" s="302">
        <v>74</v>
      </c>
      <c r="C80" s="295" t="s">
        <v>370</v>
      </c>
      <c r="D80" s="232" t="s">
        <v>611</v>
      </c>
      <c r="E80" s="232" t="s">
        <v>85</v>
      </c>
      <c r="F80" s="232" t="s">
        <v>87</v>
      </c>
      <c r="G80" s="295">
        <v>5</v>
      </c>
      <c r="H80" s="296" t="s">
        <v>1210</v>
      </c>
      <c r="I80" s="297" t="s">
        <v>1061</v>
      </c>
      <c r="J80" s="232" t="s">
        <v>832</v>
      </c>
      <c r="K80" s="233">
        <f>20000+15000</f>
        <v>35000</v>
      </c>
      <c r="L80" s="284">
        <f>IF(K80&gt;=Datos!$D$14,(Datos!$D$14*Datos!$C$14),IF(K80&lt;=Datos!$D$14,(K80*Datos!$C$14)))</f>
        <v>1004.5</v>
      </c>
      <c r="M80" s="284">
        <f>IF(K80&gt;=Datos!$D$15,(Datos!$D$15*Datos!$C$15),IF(K80&lt;=Datos!$D$15,(K80*Datos!$C$15)))</f>
        <v>1064</v>
      </c>
      <c r="N80" s="231"/>
      <c r="O80" s="231">
        <f t="shared" si="1"/>
        <v>32931.5</v>
      </c>
      <c r="P80" s="223">
        <f>IF(O80&lt;=Datos!$G$7,"0",IF(O80&lt;=Datos!$G$8,(O80-Datos!$F$8)*Datos!$I$6,IF(O80&lt;=Datos!$G$9,Datos!$I$8+(O80-Datos!$F$9)*Datos!$J$6,IF(O80&gt;=Datos!$F$10,(Datos!$I$8+Datos!$J$8)+(O80-Datos!$F$10)*Datos!$K$6))))-W80</f>
        <v>0</v>
      </c>
      <c r="Q80" s="231">
        <f>IFERROR(VLOOKUP(C80,[1]Hoja1!$D$5:$E$58,2,FALSE),0)</f>
        <v>0</v>
      </c>
      <c r="R80" s="234"/>
      <c r="S80" s="234"/>
      <c r="T80" s="234"/>
      <c r="U80" s="234"/>
      <c r="V80" s="234">
        <v>25</v>
      </c>
      <c r="W80" s="231"/>
      <c r="X80" s="234">
        <f t="shared" si="10"/>
        <v>2093.5</v>
      </c>
      <c r="Y80" s="234">
        <f t="shared" si="9"/>
        <v>32906.5</v>
      </c>
      <c r="Z80" s="296" t="s">
        <v>130</v>
      </c>
      <c r="AA80" s="298">
        <v>44197</v>
      </c>
      <c r="AB80" s="235"/>
      <c r="AC80" s="264"/>
    </row>
    <row r="81" spans="1:35" s="236" customFormat="1" x14ac:dyDescent="0.25">
      <c r="A81" s="232"/>
      <c r="B81" s="302">
        <v>75</v>
      </c>
      <c r="C81" s="295" t="s">
        <v>372</v>
      </c>
      <c r="D81" s="232" t="s">
        <v>613</v>
      </c>
      <c r="E81" s="232" t="s">
        <v>85</v>
      </c>
      <c r="F81" s="232" t="s">
        <v>87</v>
      </c>
      <c r="G81" s="295">
        <v>1</v>
      </c>
      <c r="H81" s="296" t="s">
        <v>1548</v>
      </c>
      <c r="I81" s="297" t="s">
        <v>1061</v>
      </c>
      <c r="J81" s="232" t="s">
        <v>833</v>
      </c>
      <c r="K81" s="233">
        <f>13200+4800</f>
        <v>18000</v>
      </c>
      <c r="L81" s="284">
        <f>IF(K81&gt;=Datos!$D$14,(Datos!$D$14*Datos!$C$14),IF(K81&lt;=Datos!$D$14,(K81*Datos!$C$14)))</f>
        <v>516.6</v>
      </c>
      <c r="M81" s="284">
        <f>IF(K81&gt;=Datos!$D$15,(Datos!$D$15*Datos!$C$15),IF(K81&lt;=Datos!$D$15,(K81*Datos!$C$15)))</f>
        <v>547.20000000000005</v>
      </c>
      <c r="N81" s="231"/>
      <c r="O81" s="231">
        <f t="shared" si="1"/>
        <v>16936.2</v>
      </c>
      <c r="P81" s="223">
        <f>IF(O81&lt;=Datos!$G$7,"0",IF(O81&lt;=Datos!$G$8,(O81-Datos!$F$8)*Datos!$I$6,IF(O81&lt;=Datos!$G$9,Datos!$I$8+(O81-Datos!$F$9)*Datos!$J$6,IF(O81&gt;=Datos!$F$10,(Datos!$I$8+Datos!$J$8)+(O81-Datos!$F$10)*Datos!$K$6))))-W81</f>
        <v>0</v>
      </c>
      <c r="Q81" s="231">
        <f>IFERROR(VLOOKUP(C81,[1]Hoja1!$D$5:$E$58,2,FALSE),0)</f>
        <v>0</v>
      </c>
      <c r="R81" s="234"/>
      <c r="S81" s="234"/>
      <c r="T81" s="234"/>
      <c r="U81" s="234"/>
      <c r="V81" s="234">
        <v>25</v>
      </c>
      <c r="W81" s="231"/>
      <c r="X81" s="234">
        <f t="shared" si="10"/>
        <v>1088.8000000000002</v>
      </c>
      <c r="Y81" s="234">
        <f t="shared" si="9"/>
        <v>16911.2</v>
      </c>
      <c r="Z81" s="296" t="s">
        <v>132</v>
      </c>
      <c r="AA81" s="298">
        <v>44197</v>
      </c>
      <c r="AB81" s="235"/>
      <c r="AC81" s="264"/>
    </row>
    <row r="82" spans="1:35" s="236" customFormat="1" x14ac:dyDescent="0.25">
      <c r="A82" s="232"/>
      <c r="B82" s="302">
        <v>76</v>
      </c>
      <c r="C82" s="295" t="s">
        <v>969</v>
      </c>
      <c r="D82" s="232" t="s">
        <v>970</v>
      </c>
      <c r="E82" s="232" t="s">
        <v>85</v>
      </c>
      <c r="F82" s="232" t="s">
        <v>87</v>
      </c>
      <c r="G82" s="295">
        <v>1</v>
      </c>
      <c r="H82" s="296" t="s">
        <v>1379</v>
      </c>
      <c r="I82" s="297" t="s">
        <v>1062</v>
      </c>
      <c r="J82" s="232" t="s">
        <v>845</v>
      </c>
      <c r="K82" s="233">
        <f>17000+8000+1000</f>
        <v>26000</v>
      </c>
      <c r="L82" s="284">
        <f>IF(K82&gt;=Datos!$D$14,(Datos!$D$14*Datos!$C$14),IF(K82&lt;=Datos!$D$14,(K82*Datos!$C$14)))</f>
        <v>746.2</v>
      </c>
      <c r="M82" s="284">
        <f>IF(K82&gt;=Datos!$D$15,(Datos!$D$15*Datos!$C$15),IF(K82&lt;=Datos!$D$15,(K82*Datos!$C$15)))</f>
        <v>790.4</v>
      </c>
      <c r="N82" s="231"/>
      <c r="O82" s="231">
        <f t="shared" ref="O82:O156" si="11">K82-(L82+M82+N82)</f>
        <v>24463.4</v>
      </c>
      <c r="P82" s="223">
        <f>IF(O82&lt;=Datos!$G$7,"0",IF(O82&lt;=Datos!$G$8,(O82-Datos!$F$8)*Datos!$I$6,IF(O82&lt;=Datos!$G$9,Datos!$I$8+(O82-Datos!$F$9)*Datos!$J$6,IF(O82&gt;=Datos!$F$10,(Datos!$I$8+Datos!$J$8)+(O82-Datos!$F$10)*Datos!$K$6))))-W82</f>
        <v>0</v>
      </c>
      <c r="Q82" s="231">
        <f>IFERROR(VLOOKUP(C82,[1]Hoja1!$D$5:$E$58,2,FALSE),0)</f>
        <v>0</v>
      </c>
      <c r="R82" s="234"/>
      <c r="S82" s="234"/>
      <c r="T82" s="234"/>
      <c r="U82" s="234"/>
      <c r="V82" s="234">
        <v>25</v>
      </c>
      <c r="W82" s="231"/>
      <c r="X82" s="234">
        <f t="shared" si="10"/>
        <v>1561.6</v>
      </c>
      <c r="Y82" s="234">
        <f t="shared" si="9"/>
        <v>24438.400000000001</v>
      </c>
      <c r="Z82" s="296"/>
      <c r="AA82" s="298">
        <v>44682</v>
      </c>
      <c r="AB82" s="235"/>
      <c r="AC82" s="264"/>
    </row>
    <row r="83" spans="1:35" s="236" customFormat="1" x14ac:dyDescent="0.25">
      <c r="A83" s="232"/>
      <c r="B83" s="302">
        <v>77</v>
      </c>
      <c r="C83" s="295" t="s">
        <v>1785</v>
      </c>
      <c r="D83" s="232" t="s">
        <v>1786</v>
      </c>
      <c r="E83" s="232" t="s">
        <v>85</v>
      </c>
      <c r="F83" s="232" t="s">
        <v>87</v>
      </c>
      <c r="G83" s="295">
        <v>1</v>
      </c>
      <c r="H83" s="296" t="s">
        <v>1827</v>
      </c>
      <c r="I83" s="297" t="s">
        <v>1067</v>
      </c>
      <c r="J83" s="232" t="s">
        <v>851</v>
      </c>
      <c r="K83" s="233">
        <v>35000</v>
      </c>
      <c r="L83" s="284">
        <f>IF(K83&gt;=Datos!$D$14,(Datos!$D$14*Datos!$C$14),IF(K83&lt;=Datos!$D$14,(K83*Datos!$C$14)))</f>
        <v>1004.5</v>
      </c>
      <c r="M83" s="284">
        <f>IF(K83&gt;=Datos!$D$15,(Datos!$D$15*Datos!$C$15),IF(K83&lt;=Datos!$D$15,(K83*Datos!$C$15)))</f>
        <v>1064</v>
      </c>
      <c r="N83" s="231"/>
      <c r="O83" s="231">
        <f t="shared" si="11"/>
        <v>32931.5</v>
      </c>
      <c r="P83" s="223">
        <f>IF(O83&lt;=Datos!$G$7,"0",IF(O83&lt;=Datos!$G$8,(O83-Datos!$F$8)*Datos!$I$6,IF(O83&lt;=Datos!$G$9,Datos!$I$8+(O83-Datos!$F$9)*Datos!$J$6,IF(O83&gt;=Datos!$F$10,(Datos!$I$8+Datos!$J$8)+(O83-Datos!$F$10)*Datos!$K$6))))-W83</f>
        <v>0</v>
      </c>
      <c r="Q83" s="231">
        <f>IFERROR(VLOOKUP(C83,[1]Hoja1!$D$5:$E$58,2,FALSE),0)</f>
        <v>0</v>
      </c>
      <c r="R83" s="234"/>
      <c r="S83" s="234"/>
      <c r="T83" s="234"/>
      <c r="U83" s="234"/>
      <c r="V83" s="234">
        <v>25</v>
      </c>
      <c r="W83" s="231"/>
      <c r="X83" s="234">
        <f t="shared" si="10"/>
        <v>2093.5</v>
      </c>
      <c r="Y83" s="234">
        <f t="shared" si="9"/>
        <v>32906.5</v>
      </c>
      <c r="Z83" s="296">
        <v>9607660890</v>
      </c>
      <c r="AA83" s="298">
        <v>45597</v>
      </c>
      <c r="AB83" s="235"/>
      <c r="AC83" s="264"/>
    </row>
    <row r="84" spans="1:35" s="236" customFormat="1" x14ac:dyDescent="0.25">
      <c r="A84" s="232"/>
      <c r="B84" s="302">
        <v>78</v>
      </c>
      <c r="C84" s="295" t="s">
        <v>1011</v>
      </c>
      <c r="D84" s="232" t="s">
        <v>1004</v>
      </c>
      <c r="E84" s="232" t="s">
        <v>86</v>
      </c>
      <c r="F84" s="232" t="s">
        <v>87</v>
      </c>
      <c r="G84" s="295">
        <v>5</v>
      </c>
      <c r="H84" s="296" t="s">
        <v>1210</v>
      </c>
      <c r="I84" s="297" t="s">
        <v>1061</v>
      </c>
      <c r="J84" s="232" t="s">
        <v>1304</v>
      </c>
      <c r="K84" s="233">
        <f>55000+5000</f>
        <v>60000</v>
      </c>
      <c r="L84" s="284">
        <f>IF(K84&gt;=Datos!$D$14,(Datos!$D$14*Datos!$C$14),IF(K84&lt;=Datos!$D$14,(K84*Datos!$C$14)))</f>
        <v>1722</v>
      </c>
      <c r="M84" s="284">
        <f>IF(K84&gt;=Datos!$D$15,(Datos!$D$15*Datos!$C$15),IF(K84&lt;=Datos!$D$15,(K84*Datos!$C$15)))</f>
        <v>1824</v>
      </c>
      <c r="N84" s="231"/>
      <c r="O84" s="231">
        <f t="shared" si="11"/>
        <v>56454</v>
      </c>
      <c r="P84" s="223">
        <f>IF(O84&lt;=Datos!$G$7,"0",IF(O84&lt;=Datos!$G$8,(O84-Datos!$F$8)*Datos!$I$6,IF(O84&lt;=Datos!$G$9,Datos!$I$8+(O84-Datos!$F$9)*Datos!$J$6,IF(O84&gt;=Datos!$F$10,(Datos!$I$8+Datos!$J$8)+(O84-Datos!$F$10)*Datos!$K$6))))-W84</f>
        <v>3486.6756666666661</v>
      </c>
      <c r="Q84" s="231">
        <v>9557.74</v>
      </c>
      <c r="R84" s="234"/>
      <c r="S84" s="234"/>
      <c r="T84" s="234"/>
      <c r="U84" s="234"/>
      <c r="V84" s="234">
        <v>25</v>
      </c>
      <c r="W84" s="231"/>
      <c r="X84" s="234">
        <f t="shared" si="10"/>
        <v>16615.415666666668</v>
      </c>
      <c r="Y84" s="234">
        <f t="shared" si="9"/>
        <v>43384.584333333332</v>
      </c>
      <c r="Z84" s="296"/>
      <c r="AA84" s="298">
        <v>44743</v>
      </c>
      <c r="AB84" s="235"/>
      <c r="AC84" s="264"/>
    </row>
    <row r="85" spans="1:35" s="236" customFormat="1" x14ac:dyDescent="0.25">
      <c r="A85" s="232"/>
      <c r="B85" s="302">
        <v>79</v>
      </c>
      <c r="C85" s="295" t="s">
        <v>1129</v>
      </c>
      <c r="D85" s="232" t="s">
        <v>1130</v>
      </c>
      <c r="E85" s="232" t="s">
        <v>86</v>
      </c>
      <c r="F85" s="232" t="s">
        <v>87</v>
      </c>
      <c r="G85" s="295">
        <v>5</v>
      </c>
      <c r="H85" s="296" t="s">
        <v>1662</v>
      </c>
      <c r="I85" s="297" t="s">
        <v>1067</v>
      </c>
      <c r="J85" s="232" t="s">
        <v>1123</v>
      </c>
      <c r="K85" s="233">
        <v>60000</v>
      </c>
      <c r="L85" s="284">
        <f>IF(K85&gt;=Datos!$D$14,(Datos!$D$14*Datos!$C$14),IF(K85&lt;=Datos!$D$14,(K85*Datos!$C$14)))</f>
        <v>1722</v>
      </c>
      <c r="M85" s="284">
        <f>IF(K85&gt;=Datos!$D$15,(Datos!$D$15*Datos!$C$15),IF(K85&lt;=Datos!$D$15,(K85*Datos!$C$15)))</f>
        <v>1824</v>
      </c>
      <c r="N85" s="231">
        <v>1715.46</v>
      </c>
      <c r="O85" s="231">
        <f t="shared" si="11"/>
        <v>54738.54</v>
      </c>
      <c r="P85" s="223">
        <f>IF(O85&lt;=Datos!$G$7,"0",IF(O85&lt;=Datos!$G$8,(O85-Datos!$F$8)*Datos!$I$6,IF(O85&lt;=Datos!$G$9,Datos!$I$8+(O85-Datos!$F$9)*Datos!$J$6,IF(O85&gt;=Datos!$F$10,(Datos!$I$8+Datos!$J$8)+(O85-Datos!$F$10)*Datos!$K$6))))-W85</f>
        <v>3143.5836666666664</v>
      </c>
      <c r="Q85" s="231">
        <f>IFERROR(VLOOKUP(C85,[1]Hoja1!$D$5:$E$58,2,FALSE),0)</f>
        <v>0</v>
      </c>
      <c r="R85" s="234"/>
      <c r="S85" s="234"/>
      <c r="T85" s="234"/>
      <c r="U85" s="234"/>
      <c r="V85" s="234">
        <v>25</v>
      </c>
      <c r="W85" s="231"/>
      <c r="X85" s="234">
        <f t="shared" si="10"/>
        <v>8430.0436666666665</v>
      </c>
      <c r="Y85" s="234">
        <f t="shared" si="9"/>
        <v>51569.956333333335</v>
      </c>
      <c r="Z85" s="296"/>
      <c r="AA85" s="298">
        <v>44866</v>
      </c>
      <c r="AB85" s="235"/>
      <c r="AC85" s="264"/>
    </row>
    <row r="86" spans="1:35" s="236" customFormat="1" x14ac:dyDescent="0.25">
      <c r="A86" s="232"/>
      <c r="B86" s="302">
        <v>80</v>
      </c>
      <c r="C86" s="295" t="s">
        <v>1580</v>
      </c>
      <c r="D86" s="232" t="s">
        <v>1581</v>
      </c>
      <c r="E86" s="232" t="s">
        <v>86</v>
      </c>
      <c r="F86" s="232" t="s">
        <v>87</v>
      </c>
      <c r="G86" s="295">
        <v>1</v>
      </c>
      <c r="H86" s="296" t="s">
        <v>1579</v>
      </c>
      <c r="I86" s="297" t="s">
        <v>1062</v>
      </c>
      <c r="J86" s="232" t="s">
        <v>841</v>
      </c>
      <c r="K86" s="233">
        <v>33000</v>
      </c>
      <c r="L86" s="284">
        <f>IF(K86&gt;=Datos!$D$14,(Datos!$D$14*Datos!$C$14),IF(K86&lt;=Datos!$D$14,(K86*Datos!$C$14)))</f>
        <v>947.1</v>
      </c>
      <c r="M86" s="284">
        <f>IF(K86&gt;=Datos!$D$15,(Datos!$D$15*Datos!$C$15),IF(K86&lt;=Datos!$D$15,(K86*Datos!$C$15)))</f>
        <v>1003.2</v>
      </c>
      <c r="N86" s="231"/>
      <c r="O86" s="231">
        <f t="shared" si="11"/>
        <v>31049.7</v>
      </c>
      <c r="P86" s="223">
        <f>IF(O86&lt;=Datos!$G$7,"0",IF(O86&lt;=Datos!$G$8,(O86-Datos!$F$8)*Datos!$I$6,IF(O86&lt;=Datos!$G$9,Datos!$I$8+(O86-Datos!$F$9)*Datos!$J$6,IF(O86&gt;=Datos!$F$10,(Datos!$I$8+Datos!$J$8)+(O86-Datos!$F$10)*Datos!$K$6))))-W86</f>
        <v>0</v>
      </c>
      <c r="Q86" s="231">
        <f>IFERROR(VLOOKUP(C86,[1]Hoja1!$D$5:$E$58,2,FALSE),0)</f>
        <v>0</v>
      </c>
      <c r="R86" s="234"/>
      <c r="S86" s="234"/>
      <c r="T86" s="234"/>
      <c r="U86" s="234"/>
      <c r="V86" s="234">
        <v>25</v>
      </c>
      <c r="W86" s="231"/>
      <c r="X86" s="234">
        <f t="shared" si="10"/>
        <v>1975.3000000000002</v>
      </c>
      <c r="Y86" s="234">
        <f t="shared" si="9"/>
        <v>31024.7</v>
      </c>
      <c r="Z86" s="296">
        <v>9607165361</v>
      </c>
      <c r="AA86" s="298">
        <v>45444</v>
      </c>
      <c r="AB86" s="235"/>
      <c r="AC86" s="264"/>
    </row>
    <row r="87" spans="1:35" s="236" customFormat="1" x14ac:dyDescent="0.25">
      <c r="A87" s="232"/>
      <c r="B87" s="302">
        <v>81</v>
      </c>
      <c r="C87" s="295" t="s">
        <v>1711</v>
      </c>
      <c r="D87" s="232" t="s">
        <v>1712</v>
      </c>
      <c r="E87" s="232" t="s">
        <v>85</v>
      </c>
      <c r="F87" s="232" t="s">
        <v>87</v>
      </c>
      <c r="G87" s="295">
        <v>5</v>
      </c>
      <c r="H87" s="296" t="s">
        <v>1836</v>
      </c>
      <c r="I87" s="297" t="s">
        <v>1710</v>
      </c>
      <c r="J87" s="232" t="s">
        <v>1520</v>
      </c>
      <c r="K87" s="233">
        <v>55000</v>
      </c>
      <c r="L87" s="284">
        <f>IF(K87&gt;=Datos!$D$14,(Datos!$D$14*Datos!$C$14),IF(K87&lt;=Datos!$D$14,(K87*Datos!$C$14)))</f>
        <v>1578.5</v>
      </c>
      <c r="M87" s="284">
        <f>IF(K87&gt;=Datos!$D$15,(Datos!$D$15*Datos!$C$15),IF(K87&lt;=Datos!$D$15,(K87*Datos!$C$15)))</f>
        <v>1672</v>
      </c>
      <c r="N87" s="231"/>
      <c r="O87" s="231">
        <v>51749.5</v>
      </c>
      <c r="P87" s="223">
        <f>IF(O87&lt;=Datos!$G$7,"0",IF(O87&lt;=Datos!$G$8,(O87-Datos!$F$8)*Datos!$I$6,IF(O87&lt;=Datos!$G$9,Datos!$I$8+(O87-Datos!$F$9)*Datos!$J$6,IF(O87&gt;=Datos!$F$10,(Datos!$I$8+Datos!$J$8)+(O87-Datos!$F$10)*Datos!$K$6))))-W87</f>
        <v>2559.6734999999994</v>
      </c>
      <c r="Q87" s="231">
        <v>0</v>
      </c>
      <c r="R87" s="234"/>
      <c r="S87" s="234"/>
      <c r="T87" s="234"/>
      <c r="U87" s="234"/>
      <c r="V87" s="234">
        <v>25</v>
      </c>
      <c r="W87" s="231"/>
      <c r="X87" s="234">
        <f t="shared" si="10"/>
        <v>5835.173499999999</v>
      </c>
      <c r="Y87" s="234">
        <f t="shared" si="9"/>
        <v>49164.826500000003</v>
      </c>
      <c r="Z87" s="296">
        <v>9607479178</v>
      </c>
      <c r="AA87" s="298">
        <v>45566</v>
      </c>
      <c r="AB87" s="235"/>
      <c r="AC87" s="264"/>
    </row>
    <row r="88" spans="1:35" s="236" customFormat="1" x14ac:dyDescent="0.25">
      <c r="A88" s="232"/>
      <c r="B88" s="302">
        <v>82</v>
      </c>
      <c r="C88" s="295" t="s">
        <v>1777</v>
      </c>
      <c r="D88" s="232" t="s">
        <v>1778</v>
      </c>
      <c r="E88" s="232" t="s">
        <v>85</v>
      </c>
      <c r="F88" s="232" t="s">
        <v>87</v>
      </c>
      <c r="G88" s="295">
        <v>6</v>
      </c>
      <c r="H88" s="296" t="s">
        <v>1216</v>
      </c>
      <c r="I88" s="297" t="s">
        <v>1060</v>
      </c>
      <c r="J88" s="232" t="s">
        <v>1562</v>
      </c>
      <c r="K88" s="233">
        <v>60000</v>
      </c>
      <c r="L88" s="284">
        <f>IF(K88&gt;=Datos!$D$14,(Datos!$D$14*Datos!$C$14),IF(K88&lt;=Datos!$D$14,(K88*Datos!$C$14)))</f>
        <v>1722</v>
      </c>
      <c r="M88" s="284">
        <f>IF(K88&gt;=Datos!$D$15,(Datos!$D$15*Datos!$C$15),IF(K88&lt;=Datos!$D$15,(K88*Datos!$C$15)))</f>
        <v>1824</v>
      </c>
      <c r="N88" s="231"/>
      <c r="O88" s="231">
        <f t="shared" si="11"/>
        <v>56454</v>
      </c>
      <c r="P88" s="223">
        <f>IF(O88&lt;=Datos!$G$7,"0",IF(O88&lt;=Datos!$G$8,(O88-Datos!$F$8)*Datos!$I$6,IF(O88&lt;=Datos!$G$9,Datos!$I$8+(O88-Datos!$F$9)*Datos!$J$6,IF(O88&gt;=Datos!$F$10,(Datos!$I$8+Datos!$J$8)+(O88-Datos!$F$10)*Datos!$K$6))))-W88</f>
        <v>3486.6756666666661</v>
      </c>
      <c r="Q88" s="231">
        <v>0</v>
      </c>
      <c r="R88" s="234"/>
      <c r="S88" s="234"/>
      <c r="T88" s="234"/>
      <c r="U88" s="234"/>
      <c r="V88" s="234">
        <v>25</v>
      </c>
      <c r="W88" s="231"/>
      <c r="X88" s="234">
        <f t="shared" si="10"/>
        <v>7057.6756666666661</v>
      </c>
      <c r="Y88" s="234">
        <f t="shared" si="9"/>
        <v>52942.324333333338</v>
      </c>
      <c r="Z88" s="296">
        <v>9607660889</v>
      </c>
      <c r="AA88" s="298">
        <v>45597</v>
      </c>
      <c r="AB88" s="235"/>
      <c r="AC88" s="264"/>
    </row>
    <row r="89" spans="1:35" s="236" customFormat="1" x14ac:dyDescent="0.25">
      <c r="A89" s="232"/>
      <c r="B89" s="302">
        <v>83</v>
      </c>
      <c r="C89" s="295" t="s">
        <v>373</v>
      </c>
      <c r="D89" s="232" t="s">
        <v>614</v>
      </c>
      <c r="E89" s="232" t="s">
        <v>85</v>
      </c>
      <c r="F89" s="232" t="s">
        <v>87</v>
      </c>
      <c r="G89" s="295">
        <v>1</v>
      </c>
      <c r="H89" s="296" t="s">
        <v>1548</v>
      </c>
      <c r="I89" s="297" t="s">
        <v>1062</v>
      </c>
      <c r="J89" s="232" t="s">
        <v>833</v>
      </c>
      <c r="K89" s="233">
        <f>13860+4140</f>
        <v>18000</v>
      </c>
      <c r="L89" s="284">
        <f>IF(K89&gt;=Datos!$D$14,(Datos!$D$14*Datos!$C$14),IF(K89&lt;=Datos!$D$14,(K89*Datos!$C$14)))</f>
        <v>516.6</v>
      </c>
      <c r="M89" s="284">
        <f>IF(K89&gt;=Datos!$D$15,(Datos!$D$15*Datos!$C$15),IF(K89&lt;=Datos!$D$15,(K89*Datos!$C$15)))</f>
        <v>547.20000000000005</v>
      </c>
      <c r="N89" s="231"/>
      <c r="O89" s="231">
        <f t="shared" si="11"/>
        <v>16936.2</v>
      </c>
      <c r="P89" s="223">
        <f>IF(O89&lt;=Datos!$G$7,"0",IF(O89&lt;=Datos!$G$8,(O89-Datos!$F$8)*Datos!$I$6,IF(O89&lt;=Datos!$G$9,Datos!$I$8+(O89-Datos!$F$9)*Datos!$J$6,IF(O89&gt;=Datos!$F$10,(Datos!$I$8+Datos!$J$8)+(O89-Datos!$F$10)*Datos!$K$6))))-W89</f>
        <v>0</v>
      </c>
      <c r="Q89" s="231">
        <f>IFERROR(VLOOKUP(C89,[1]Hoja1!$D$5:$E$58,2,FALSE),0)</f>
        <v>0</v>
      </c>
      <c r="R89" s="234"/>
      <c r="S89" s="234"/>
      <c r="T89" s="234"/>
      <c r="U89" s="234"/>
      <c r="V89" s="234">
        <v>25</v>
      </c>
      <c r="W89" s="231"/>
      <c r="X89" s="234">
        <f t="shared" si="10"/>
        <v>1088.8000000000002</v>
      </c>
      <c r="Y89" s="234">
        <f t="shared" si="9"/>
        <v>16911.2</v>
      </c>
      <c r="Z89" s="296" t="s">
        <v>133</v>
      </c>
      <c r="AA89" s="298">
        <v>44197</v>
      </c>
      <c r="AB89" s="235"/>
      <c r="AC89" s="264"/>
    </row>
    <row r="90" spans="1:35" s="236" customFormat="1" x14ac:dyDescent="0.25">
      <c r="A90" s="232"/>
      <c r="B90" s="302">
        <v>84</v>
      </c>
      <c r="C90" s="295" t="s">
        <v>1615</v>
      </c>
      <c r="D90" s="232" t="s">
        <v>1616</v>
      </c>
      <c r="E90" s="232" t="s">
        <v>85</v>
      </c>
      <c r="F90" s="232" t="s">
        <v>87</v>
      </c>
      <c r="G90" s="295">
        <v>5</v>
      </c>
      <c r="H90" s="296" t="s">
        <v>1383</v>
      </c>
      <c r="I90" s="297" t="s">
        <v>1060</v>
      </c>
      <c r="J90" s="232" t="s">
        <v>972</v>
      </c>
      <c r="K90" s="233">
        <v>60000</v>
      </c>
      <c r="L90" s="284">
        <f>IF(K90&gt;=Datos!$D$14,(Datos!$D$14*Datos!$C$14),IF(K90&lt;=Datos!$D$14,(K90*Datos!$C$14)))</f>
        <v>1722</v>
      </c>
      <c r="M90" s="284">
        <f>IF(K90&gt;=Datos!$D$15,(Datos!$D$15*Datos!$C$15),IF(K90&lt;=Datos!$D$15,(K90*Datos!$C$15)))</f>
        <v>1824</v>
      </c>
      <c r="N90" s="231"/>
      <c r="O90" s="231">
        <f t="shared" si="11"/>
        <v>56454</v>
      </c>
      <c r="P90" s="223">
        <f>IF(O90&lt;=Datos!$G$7,"0",IF(O90&lt;=Datos!$G$8,(O90-Datos!$F$8)*Datos!$I$6,IF(O90&lt;=Datos!$G$9,Datos!$I$8+(O90-Datos!$F$9)*Datos!$J$6,IF(O90&gt;=Datos!$F$10,(Datos!$I$8+Datos!$J$8)+(O90-Datos!$F$10)*Datos!$K$6))))-W90</f>
        <v>3486.6756666666661</v>
      </c>
      <c r="Q90" s="231">
        <f>IFERROR(VLOOKUP(C90,[1]Hoja1!$D$5:$E$58,2,FALSE),0)</f>
        <v>0</v>
      </c>
      <c r="R90" s="234"/>
      <c r="S90" s="234"/>
      <c r="T90" s="234"/>
      <c r="U90" s="234"/>
      <c r="V90" s="234">
        <v>25</v>
      </c>
      <c r="W90" s="231"/>
      <c r="X90" s="234">
        <f t="shared" si="10"/>
        <v>7057.6756666666661</v>
      </c>
      <c r="Y90" s="234">
        <f t="shared" si="9"/>
        <v>52942.324333333338</v>
      </c>
      <c r="Z90" s="296">
        <v>9607405793</v>
      </c>
      <c r="AA90" s="298">
        <v>45536</v>
      </c>
      <c r="AB90" s="235"/>
      <c r="AC90" s="264"/>
    </row>
    <row r="91" spans="1:35" s="236" customFormat="1" x14ac:dyDescent="0.25">
      <c r="A91" s="232"/>
      <c r="B91" s="302">
        <v>85</v>
      </c>
      <c r="C91" s="295" t="s">
        <v>374</v>
      </c>
      <c r="D91" s="232" t="s">
        <v>615</v>
      </c>
      <c r="E91" s="232" t="s">
        <v>85</v>
      </c>
      <c r="F91" s="232" t="s">
        <v>87</v>
      </c>
      <c r="G91" s="295">
        <v>1</v>
      </c>
      <c r="H91" s="296" t="s">
        <v>1548</v>
      </c>
      <c r="I91" s="297" t="s">
        <v>1061</v>
      </c>
      <c r="J91" s="232" t="s">
        <v>849</v>
      </c>
      <c r="K91" s="233">
        <f>16000+4000</f>
        <v>20000</v>
      </c>
      <c r="L91" s="284">
        <f>IF(K91&gt;=Datos!$D$14,(Datos!$D$14*Datos!$C$14),IF(K91&lt;=Datos!$D$14,(K91*Datos!$C$14)))</f>
        <v>574</v>
      </c>
      <c r="M91" s="284">
        <f>IF(K91&gt;=Datos!$D$15,(Datos!$D$15*Datos!$C$15),IF(K91&lt;=Datos!$D$15,(K91*Datos!$C$15)))</f>
        <v>608</v>
      </c>
      <c r="N91" s="231"/>
      <c r="O91" s="231">
        <f t="shared" si="11"/>
        <v>18818</v>
      </c>
      <c r="P91" s="223">
        <f>IF(O91&lt;=Datos!$G$7,"0",IF(O91&lt;=Datos!$G$8,(O91-Datos!$F$8)*Datos!$I$6,IF(O91&lt;=Datos!$G$9,Datos!$I$8+(O91-Datos!$F$9)*Datos!$J$6,IF(O91&gt;=Datos!$F$10,(Datos!$I$8+Datos!$J$8)+(O91-Datos!$F$10)*Datos!$K$6))))-W91</f>
        <v>0</v>
      </c>
      <c r="Q91" s="231">
        <v>12205.78</v>
      </c>
      <c r="R91" s="234"/>
      <c r="S91" s="234"/>
      <c r="T91" s="234"/>
      <c r="U91" s="234"/>
      <c r="V91" s="234">
        <v>25</v>
      </c>
      <c r="W91" s="231"/>
      <c r="X91" s="234">
        <f t="shared" si="10"/>
        <v>13412.78</v>
      </c>
      <c r="Y91" s="234">
        <f t="shared" si="9"/>
        <v>6587.2199999999993</v>
      </c>
      <c r="Z91" s="296" t="s">
        <v>134</v>
      </c>
      <c r="AA91" s="298">
        <v>44197</v>
      </c>
      <c r="AB91" s="235"/>
      <c r="AC91" s="264"/>
    </row>
    <row r="92" spans="1:35" s="236" customFormat="1" x14ac:dyDescent="0.25">
      <c r="A92" s="232"/>
      <c r="B92" s="302">
        <v>86</v>
      </c>
      <c r="C92" s="295" t="s">
        <v>375</v>
      </c>
      <c r="D92" s="232" t="s">
        <v>616</v>
      </c>
      <c r="E92" s="232" t="s">
        <v>85</v>
      </c>
      <c r="F92" s="232" t="s">
        <v>87</v>
      </c>
      <c r="G92" s="295">
        <v>5</v>
      </c>
      <c r="H92" s="296" t="s">
        <v>1210</v>
      </c>
      <c r="I92" s="297" t="s">
        <v>1064</v>
      </c>
      <c r="J92" s="232" t="s">
        <v>837</v>
      </c>
      <c r="K92" s="233">
        <f>58500+6500</f>
        <v>65000</v>
      </c>
      <c r="L92" s="284">
        <f>IF(K92&gt;=Datos!$D$14,(Datos!$D$14*Datos!$C$14),IF(K92&lt;=Datos!$D$14,(K92*Datos!$C$14)))</f>
        <v>1865.5</v>
      </c>
      <c r="M92" s="284">
        <f>IF(K92&gt;=Datos!$D$15,(Datos!$D$15*Datos!$C$15),IF(K92&lt;=Datos!$D$15,(K92*Datos!$C$15)))</f>
        <v>1976</v>
      </c>
      <c r="N92" s="231"/>
      <c r="O92" s="231">
        <f t="shared" si="11"/>
        <v>61158.5</v>
      </c>
      <c r="P92" s="223">
        <f>IF(O92&lt;=Datos!$G$7,"0",IF(O92&lt;=Datos!$G$8,(O92-Datos!$F$8)*Datos!$I$6,IF(O92&lt;=Datos!$G$9,Datos!$I$8+(O92-Datos!$F$9)*Datos!$J$6,IF(O92&gt;=Datos!$F$10,(Datos!$I$8+Datos!$J$8)+(O92-Datos!$F$10)*Datos!$K$6))))-W92</f>
        <v>4427.5756666666657</v>
      </c>
      <c r="Q92" s="231">
        <f>IFERROR(VLOOKUP(C92,[1]Hoja1!$D$5:$E$58,2,FALSE),0)</f>
        <v>0</v>
      </c>
      <c r="R92" s="234"/>
      <c r="S92" s="234"/>
      <c r="T92" s="234"/>
      <c r="U92" s="234"/>
      <c r="V92" s="234">
        <v>25</v>
      </c>
      <c r="W92" s="231"/>
      <c r="X92" s="234">
        <f t="shared" si="10"/>
        <v>8294.0756666666657</v>
      </c>
      <c r="Y92" s="234">
        <f t="shared" si="9"/>
        <v>56705.924333333336</v>
      </c>
      <c r="Z92" s="296" t="s">
        <v>135</v>
      </c>
      <c r="AA92" s="298">
        <v>44197</v>
      </c>
      <c r="AB92" s="235"/>
      <c r="AC92" s="264"/>
    </row>
    <row r="93" spans="1:35" s="236" customFormat="1" x14ac:dyDescent="0.25">
      <c r="A93" s="232"/>
      <c r="B93" s="302">
        <v>87</v>
      </c>
      <c r="C93" s="295" t="s">
        <v>376</v>
      </c>
      <c r="D93" s="232" t="s">
        <v>617</v>
      </c>
      <c r="E93" s="232" t="s">
        <v>85</v>
      </c>
      <c r="F93" s="232" t="s">
        <v>87</v>
      </c>
      <c r="G93" s="295">
        <v>5</v>
      </c>
      <c r="H93" s="296" t="s">
        <v>1210</v>
      </c>
      <c r="I93" s="297" t="s">
        <v>1067</v>
      </c>
      <c r="J93" s="232" t="s">
        <v>1563</v>
      </c>
      <c r="K93" s="233">
        <f>63063+1937</f>
        <v>65000</v>
      </c>
      <c r="L93" s="284">
        <f>IF(K93&gt;=Datos!$D$14,(Datos!$D$14*Datos!$C$14),IF(K93&lt;=Datos!$D$14,(K93*Datos!$C$14)))</f>
        <v>1865.5</v>
      </c>
      <c r="M93" s="284">
        <f>IF(K93&gt;=Datos!$D$15,(Datos!$D$15*Datos!$C$15),IF(K93&lt;=Datos!$D$15,(K93*Datos!$C$15)))</f>
        <v>1976</v>
      </c>
      <c r="N93" s="231"/>
      <c r="O93" s="231">
        <f t="shared" si="11"/>
        <v>61158.5</v>
      </c>
      <c r="P93" s="223">
        <f>IF(O93&lt;=Datos!$G$7,"0",IF(O93&lt;=Datos!$G$8,(O93-Datos!$F$8)*Datos!$I$6,IF(O93&lt;=Datos!$G$9,Datos!$I$8+(O93-Datos!$F$9)*Datos!$J$6,IF(O93&gt;=Datos!$F$10,(Datos!$I$8+Datos!$J$8)+(O93-Datos!$F$10)*Datos!$K$6))))-W93</f>
        <v>4427.5756666666657</v>
      </c>
      <c r="Q93" s="231">
        <v>13701.69</v>
      </c>
      <c r="R93" s="234"/>
      <c r="S93" s="234"/>
      <c r="T93" s="234"/>
      <c r="U93" s="234"/>
      <c r="V93" s="234">
        <v>25</v>
      </c>
      <c r="W93" s="231"/>
      <c r="X93" s="234">
        <f t="shared" si="10"/>
        <v>21995.765666666666</v>
      </c>
      <c r="Y93" s="234">
        <f t="shared" si="9"/>
        <v>43004.234333333334</v>
      </c>
      <c r="Z93" s="296" t="s">
        <v>136</v>
      </c>
      <c r="AA93" s="298">
        <v>44197</v>
      </c>
      <c r="AB93" s="235"/>
      <c r="AC93" s="264"/>
    </row>
    <row r="94" spans="1:35" s="236" customFormat="1" x14ac:dyDescent="0.25">
      <c r="A94" s="232"/>
      <c r="B94" s="302">
        <v>88</v>
      </c>
      <c r="C94" s="295" t="s">
        <v>377</v>
      </c>
      <c r="D94" s="232" t="s">
        <v>618</v>
      </c>
      <c r="E94" s="232" t="s">
        <v>85</v>
      </c>
      <c r="F94" s="232" t="s">
        <v>87</v>
      </c>
      <c r="G94" s="295">
        <v>1</v>
      </c>
      <c r="H94" s="296" t="s">
        <v>1548</v>
      </c>
      <c r="I94" s="297" t="s">
        <v>1062</v>
      </c>
      <c r="J94" s="232" t="s">
        <v>833</v>
      </c>
      <c r="K94" s="233">
        <f>13860+4140</f>
        <v>18000</v>
      </c>
      <c r="L94" s="284">
        <f>IF(K94&gt;=Datos!$D$14,(Datos!$D$14*Datos!$C$14),IF(K94&lt;=Datos!$D$14,(K94*Datos!$C$14)))</f>
        <v>516.6</v>
      </c>
      <c r="M94" s="284">
        <f>IF(K94&gt;=Datos!$D$15,(Datos!$D$15*Datos!$C$15),IF(K94&lt;=Datos!$D$15,(K94*Datos!$C$15)))</f>
        <v>547.20000000000005</v>
      </c>
      <c r="N94" s="231"/>
      <c r="O94" s="231">
        <f t="shared" si="11"/>
        <v>16936.2</v>
      </c>
      <c r="P94" s="223">
        <f>IF(O94&lt;=Datos!$G$7,"0",IF(O94&lt;=Datos!$G$8,(O94-Datos!$F$8)*Datos!$I$6,IF(O94&lt;=Datos!$G$9,Datos!$I$8+(O94-Datos!$F$9)*Datos!$J$6,IF(O94&gt;=Datos!$F$10,(Datos!$I$8+Datos!$J$8)+(O94-Datos!$F$10)*Datos!$K$6))))-W94</f>
        <v>0</v>
      </c>
      <c r="Q94" s="231">
        <f>IFERROR(VLOOKUP(C94,[1]Hoja1!$D$5:$E$58,2,FALSE),0)</f>
        <v>0</v>
      </c>
      <c r="R94" s="234"/>
      <c r="S94" s="234"/>
      <c r="T94" s="234"/>
      <c r="U94" s="234"/>
      <c r="V94" s="234">
        <v>25</v>
      </c>
      <c r="W94" s="231"/>
      <c r="X94" s="234">
        <f t="shared" si="10"/>
        <v>1088.8000000000002</v>
      </c>
      <c r="Y94" s="234">
        <f t="shared" si="9"/>
        <v>16911.2</v>
      </c>
      <c r="Z94" s="296" t="s">
        <v>137</v>
      </c>
      <c r="AA94" s="298">
        <v>44197</v>
      </c>
      <c r="AB94" s="235"/>
      <c r="AC94" s="264"/>
    </row>
    <row r="95" spans="1:35" s="236" customFormat="1" x14ac:dyDescent="0.25">
      <c r="A95" s="232"/>
      <c r="B95" s="302">
        <v>89</v>
      </c>
      <c r="C95" s="295" t="s">
        <v>895</v>
      </c>
      <c r="D95" s="232" t="s">
        <v>880</v>
      </c>
      <c r="E95" s="232" t="s">
        <v>85</v>
      </c>
      <c r="F95" s="232" t="s">
        <v>87</v>
      </c>
      <c r="G95" s="295">
        <v>5</v>
      </c>
      <c r="H95" s="296" t="s">
        <v>1662</v>
      </c>
      <c r="I95" s="297" t="s">
        <v>1060</v>
      </c>
      <c r="J95" s="232" t="s">
        <v>837</v>
      </c>
      <c r="K95" s="233">
        <f>55180+9820</f>
        <v>65000</v>
      </c>
      <c r="L95" s="284">
        <f>IF(K95&gt;=Datos!$D$14,(Datos!$D$14*Datos!$C$14),IF(K95&lt;=Datos!$D$14,(K95*Datos!$C$14)))</f>
        <v>1865.5</v>
      </c>
      <c r="M95" s="284">
        <f>IF(K95&gt;=Datos!$D$15,(Datos!$D$15*Datos!$C$15),IF(K95&lt;=Datos!$D$15,(K95*Datos!$C$15)))</f>
        <v>1976</v>
      </c>
      <c r="N95" s="231"/>
      <c r="O95" s="231">
        <f t="shared" si="11"/>
        <v>61158.5</v>
      </c>
      <c r="P95" s="223">
        <f>IF(O95&lt;=Datos!$G$7,"0",IF(O95&lt;=Datos!$G$8,(O95-Datos!$F$8)*Datos!$I$6,IF(O95&lt;=Datos!$G$9,Datos!$I$8+(O95-Datos!$F$9)*Datos!$J$6,IF(O95&gt;=Datos!$F$10,(Datos!$I$8+Datos!$J$8)+(O95-Datos!$F$10)*Datos!$K$6))))-W95</f>
        <v>4427.5756666666657</v>
      </c>
      <c r="Q95" s="231">
        <f>IFERROR(VLOOKUP(C95,[1]Hoja1!$D$5:$E$58,2,FALSE),0)</f>
        <v>0</v>
      </c>
      <c r="R95" s="234"/>
      <c r="S95" s="234"/>
      <c r="T95" s="234"/>
      <c r="U95" s="234"/>
      <c r="V95" s="234">
        <v>25</v>
      </c>
      <c r="W95" s="231"/>
      <c r="X95" s="234">
        <f t="shared" si="10"/>
        <v>8294.0756666666657</v>
      </c>
      <c r="Y95" s="234">
        <f t="shared" si="9"/>
        <v>56705.924333333336</v>
      </c>
      <c r="Z95" s="296" t="s">
        <v>882</v>
      </c>
      <c r="AA95" s="298"/>
      <c r="AB95" s="235"/>
      <c r="AC95" s="264"/>
      <c r="AH95" s="235"/>
      <c r="AI95" s="264"/>
    </row>
    <row r="96" spans="1:35" s="236" customFormat="1" x14ac:dyDescent="0.25">
      <c r="A96" s="232"/>
      <c r="B96" s="302">
        <v>90</v>
      </c>
      <c r="C96" s="295" t="s">
        <v>1249</v>
      </c>
      <c r="D96" s="232" t="s">
        <v>1250</v>
      </c>
      <c r="E96" s="232" t="s">
        <v>85</v>
      </c>
      <c r="F96" s="232" t="s">
        <v>87</v>
      </c>
      <c r="G96" s="295">
        <v>1</v>
      </c>
      <c r="H96" s="296" t="s">
        <v>1215</v>
      </c>
      <c r="I96" s="297" t="s">
        <v>1061</v>
      </c>
      <c r="J96" s="232" t="s">
        <v>841</v>
      </c>
      <c r="K96" s="233">
        <v>20000</v>
      </c>
      <c r="L96" s="284">
        <f>IF(K96&gt;=Datos!$D$14,(Datos!$D$14*Datos!$C$14),IF(K96&lt;=Datos!$D$14,(K96*Datos!$C$14)))</f>
        <v>574</v>
      </c>
      <c r="M96" s="284">
        <f>IF(K96&gt;=Datos!$D$15,(Datos!$D$15*Datos!$C$15),IF(K96&lt;=Datos!$D$15,(K96*Datos!$C$15)))</f>
        <v>608</v>
      </c>
      <c r="N96" s="231"/>
      <c r="O96" s="231">
        <f t="shared" si="11"/>
        <v>18818</v>
      </c>
      <c r="P96" s="223">
        <f>IF(O96&lt;=Datos!$G$7,"0",IF(O96&lt;=Datos!$G$8,(O96-Datos!$F$8)*Datos!$I$6,IF(O96&lt;=Datos!$G$9,Datos!$I$8+(O96-Datos!$F$9)*Datos!$J$6,IF(O96&gt;=Datos!$F$10,(Datos!$I$8+Datos!$J$8)+(O96-Datos!$F$10)*Datos!$K$6))))-W96</f>
        <v>0</v>
      </c>
      <c r="Q96" s="231">
        <f>IFERROR(VLOOKUP(C96,[1]Hoja1!$D$5:$E$58,2,FALSE),0)</f>
        <v>0</v>
      </c>
      <c r="R96" s="234"/>
      <c r="S96" s="234"/>
      <c r="T96" s="234"/>
      <c r="U96" s="234"/>
      <c r="V96" s="234">
        <v>25</v>
      </c>
      <c r="W96" s="231"/>
      <c r="X96" s="234">
        <f t="shared" si="10"/>
        <v>1207</v>
      </c>
      <c r="Y96" s="234">
        <f t="shared" si="9"/>
        <v>18793</v>
      </c>
      <c r="Z96" s="296" t="s">
        <v>1251</v>
      </c>
      <c r="AA96" s="298">
        <v>45047</v>
      </c>
      <c r="AB96" s="235"/>
      <c r="AC96" s="264"/>
      <c r="AH96" s="235"/>
      <c r="AI96" s="264"/>
    </row>
    <row r="97" spans="1:29" s="236" customFormat="1" ht="14.25" customHeight="1" x14ac:dyDescent="0.25">
      <c r="A97" s="232"/>
      <c r="B97" s="302">
        <v>91</v>
      </c>
      <c r="C97" s="295" t="s">
        <v>378</v>
      </c>
      <c r="D97" s="232" t="s">
        <v>619</v>
      </c>
      <c r="E97" s="232" t="s">
        <v>85</v>
      </c>
      <c r="F97" s="232" t="s">
        <v>87</v>
      </c>
      <c r="G97" s="295">
        <v>4</v>
      </c>
      <c r="H97" s="296" t="s">
        <v>1205</v>
      </c>
      <c r="I97" s="297" t="s">
        <v>1062</v>
      </c>
      <c r="J97" s="232" t="s">
        <v>1564</v>
      </c>
      <c r="K97" s="233">
        <f>73500+46500</f>
        <v>120000</v>
      </c>
      <c r="L97" s="284">
        <f>IF(K97&gt;=Datos!$D$14,(Datos!$D$14*Datos!$C$14),IF(K97&lt;=Datos!$D$14,(K97*Datos!$C$14)))</f>
        <v>3444</v>
      </c>
      <c r="M97" s="284">
        <f>IF(K97&gt;=Datos!$D$15,(Datos!$D$15*Datos!$C$15),IF(K97&lt;=Datos!$D$15,(K97*Datos!$C$15)))</f>
        <v>3648</v>
      </c>
      <c r="N97" s="231"/>
      <c r="O97" s="231">
        <f t="shared" si="11"/>
        <v>112908</v>
      </c>
      <c r="P97" s="223">
        <f>IF(O97&lt;=Datos!$G$7,"0",IF(O97&lt;=Datos!$G$8,(O97-Datos!$F$8)*Datos!$I$6,IF(O97&lt;=Datos!$G$9,Datos!$I$8+(O97-Datos!$F$9)*Datos!$J$6,IF(O97&gt;=Datos!$F$10,(Datos!$I$8+Datos!$J$8)+(O97-Datos!$F$10)*Datos!$K$6))))-W97</f>
        <v>16809.860666666667</v>
      </c>
      <c r="Q97" s="231">
        <f>IFERROR(VLOOKUP(C97,[1]Hoja1!$D$5:$E$58,2,FALSE),0)</f>
        <v>0</v>
      </c>
      <c r="R97" s="234"/>
      <c r="S97" s="234"/>
      <c r="T97" s="234"/>
      <c r="U97" s="234"/>
      <c r="V97" s="234">
        <v>25</v>
      </c>
      <c r="W97" s="231"/>
      <c r="X97" s="234">
        <f t="shared" si="10"/>
        <v>23926.860666666667</v>
      </c>
      <c r="Y97" s="234">
        <f t="shared" si="9"/>
        <v>96073.139333333325</v>
      </c>
      <c r="Z97" s="296" t="s">
        <v>138</v>
      </c>
      <c r="AA97" s="298">
        <v>44197</v>
      </c>
      <c r="AB97" s="235"/>
      <c r="AC97" s="264"/>
    </row>
    <row r="98" spans="1:29" s="236" customFormat="1" x14ac:dyDescent="0.25">
      <c r="A98" s="232"/>
      <c r="B98" s="302">
        <v>92</v>
      </c>
      <c r="C98" s="295" t="s">
        <v>379</v>
      </c>
      <c r="D98" s="232" t="s">
        <v>620</v>
      </c>
      <c r="E98" s="232" t="s">
        <v>85</v>
      </c>
      <c r="F98" s="232" t="s">
        <v>87</v>
      </c>
      <c r="G98" s="295">
        <v>1</v>
      </c>
      <c r="H98" s="296" t="s">
        <v>1548</v>
      </c>
      <c r="I98" s="297" t="s">
        <v>1062</v>
      </c>
      <c r="J98" s="232" t="s">
        <v>833</v>
      </c>
      <c r="K98" s="233">
        <f>13200+4800</f>
        <v>18000</v>
      </c>
      <c r="L98" s="284">
        <f>IF(K98&gt;=Datos!$D$14,(Datos!$D$14*Datos!$C$14),IF(K98&lt;=Datos!$D$14,(K98*Datos!$C$14)))</f>
        <v>516.6</v>
      </c>
      <c r="M98" s="284">
        <f>IF(K98&gt;=Datos!$D$15,(Datos!$D$15*Datos!$C$15),IF(K98&lt;=Datos!$D$15,(K98*Datos!$C$15)))</f>
        <v>547.20000000000005</v>
      </c>
      <c r="N98" s="231"/>
      <c r="O98" s="231">
        <f t="shared" si="11"/>
        <v>16936.2</v>
      </c>
      <c r="P98" s="223">
        <f>IF(O98&lt;=Datos!$G$7,"0",IF(O98&lt;=Datos!$G$8,(O98-Datos!$F$8)*Datos!$I$6,IF(O98&lt;=Datos!$G$9,Datos!$I$8+(O98-Datos!$F$9)*Datos!$J$6,IF(O98&gt;=Datos!$F$10,(Datos!$I$8+Datos!$J$8)+(O98-Datos!$F$10)*Datos!$K$6))))-W98</f>
        <v>0</v>
      </c>
      <c r="Q98" s="231">
        <f>IFERROR(VLOOKUP(C98,[1]Hoja1!$D$5:$E$58,2,FALSE),0)</f>
        <v>0</v>
      </c>
      <c r="R98" s="234"/>
      <c r="S98" s="234"/>
      <c r="T98" s="234"/>
      <c r="U98" s="234"/>
      <c r="V98" s="234">
        <v>25</v>
      </c>
      <c r="W98" s="231"/>
      <c r="X98" s="234">
        <f t="shared" si="10"/>
        <v>1088.8000000000002</v>
      </c>
      <c r="Y98" s="234">
        <f t="shared" si="9"/>
        <v>16911.2</v>
      </c>
      <c r="Z98" s="296" t="s">
        <v>139</v>
      </c>
      <c r="AA98" s="298">
        <v>44197</v>
      </c>
      <c r="AB98" s="235"/>
      <c r="AC98" s="264"/>
    </row>
    <row r="99" spans="1:29" s="236" customFormat="1" x14ac:dyDescent="0.25">
      <c r="A99" s="232"/>
      <c r="B99" s="302">
        <v>93</v>
      </c>
      <c r="C99" s="295" t="s">
        <v>380</v>
      </c>
      <c r="D99" s="232" t="s">
        <v>621</v>
      </c>
      <c r="E99" s="232" t="s">
        <v>85</v>
      </c>
      <c r="F99" s="232" t="s">
        <v>87</v>
      </c>
      <c r="G99" s="295">
        <v>5</v>
      </c>
      <c r="H99" s="296" t="s">
        <v>1210</v>
      </c>
      <c r="I99" s="297" t="s">
        <v>1062</v>
      </c>
      <c r="J99" s="232" t="s">
        <v>837</v>
      </c>
      <c r="K99" s="233">
        <f>64350+650</f>
        <v>65000</v>
      </c>
      <c r="L99" s="284">
        <f>IF(K99&gt;=Datos!$D$14,(Datos!$D$14*Datos!$C$14),IF(K99&lt;=Datos!$D$14,(K99*Datos!$C$14)))</f>
        <v>1865.5</v>
      </c>
      <c r="M99" s="284">
        <f>IF(K99&gt;=Datos!$D$15,(Datos!$D$15*Datos!$C$15),IF(K99&lt;=Datos!$D$15,(K99*Datos!$C$15)))</f>
        <v>1976</v>
      </c>
      <c r="N99" s="231">
        <v>1715.46</v>
      </c>
      <c r="O99" s="231">
        <f>K99-(L99+M99+N99)</f>
        <v>59443.040000000001</v>
      </c>
      <c r="P99" s="223">
        <f>IF(O99&lt;=Datos!$G$7,"0",IF(O99&lt;=Datos!$G$8,(O99-Datos!$F$8)*Datos!$I$6,IF(O99&lt;=Datos!$G$9,Datos!$I$8+(O99-Datos!$F$9)*Datos!$J$6,IF(O99&gt;=Datos!$F$10,(Datos!$I$8+Datos!$J$8)+(O99-Datos!$F$10)*Datos!$K$6))))-W99</f>
        <v>4084.4836666666665</v>
      </c>
      <c r="Q99" s="231">
        <f>IFERROR(VLOOKUP(C99,[1]Hoja1!$D$5:$E$58,2,FALSE),0)</f>
        <v>0</v>
      </c>
      <c r="R99" s="234"/>
      <c r="S99" s="234"/>
      <c r="T99" s="234"/>
      <c r="U99" s="234"/>
      <c r="V99" s="234">
        <v>25</v>
      </c>
      <c r="W99" s="231"/>
      <c r="X99" s="234">
        <f t="shared" si="10"/>
        <v>9666.4436666666661</v>
      </c>
      <c r="Y99" s="234">
        <f t="shared" si="9"/>
        <v>55333.556333333334</v>
      </c>
      <c r="Z99" s="296" t="s">
        <v>140</v>
      </c>
      <c r="AA99" s="298">
        <v>44197</v>
      </c>
      <c r="AB99" s="235"/>
      <c r="AC99" s="264"/>
    </row>
    <row r="100" spans="1:29" s="236" customFormat="1" x14ac:dyDescent="0.25">
      <c r="A100" s="232"/>
      <c r="B100" s="302">
        <v>94</v>
      </c>
      <c r="C100" s="295" t="s">
        <v>1773</v>
      </c>
      <c r="D100" s="232" t="s">
        <v>1774</v>
      </c>
      <c r="E100" s="232" t="s">
        <v>85</v>
      </c>
      <c r="F100" s="232" t="s">
        <v>87</v>
      </c>
      <c r="G100" s="295">
        <v>5</v>
      </c>
      <c r="H100" s="296" t="s">
        <v>1210</v>
      </c>
      <c r="I100" s="297" t="s">
        <v>1060</v>
      </c>
      <c r="J100" s="232" t="s">
        <v>1520</v>
      </c>
      <c r="K100" s="233">
        <v>35000</v>
      </c>
      <c r="L100" s="284">
        <f>IF(K100&gt;=Datos!$D$14,(Datos!$D$14*Datos!$C$14),IF(K100&lt;=Datos!$D$14,(K100*Datos!$C$14)))</f>
        <v>1004.5</v>
      </c>
      <c r="M100" s="284">
        <f>IF(K100&gt;=Datos!$D$15,(Datos!$D$15*Datos!$C$15),IF(K100&lt;=Datos!$D$15,(K100*Datos!$C$15)))</f>
        <v>1064</v>
      </c>
      <c r="N100" s="231"/>
      <c r="O100" s="231">
        <f>K100-(L100+M100+N100)</f>
        <v>32931.5</v>
      </c>
      <c r="P100" s="223">
        <f>IF(O100&lt;=Datos!$G$7,"0",IF(O100&lt;=Datos!$G$8,(O100-Datos!$F$8)*Datos!$I$6,IF(O100&lt;=Datos!$G$9,Datos!$I$8+(O100-Datos!$F$9)*Datos!$J$6,IF(O100&gt;=Datos!$F$10,(Datos!$I$8+Datos!$J$8)+(O100-Datos!$F$10)*Datos!$K$6))))-W100</f>
        <v>0</v>
      </c>
      <c r="Q100" s="231">
        <f>IFERROR(VLOOKUP(C100,[1]Hoja1!$D$5:$E$58,2,FALSE),0)</f>
        <v>0</v>
      </c>
      <c r="R100" s="234"/>
      <c r="S100" s="234"/>
      <c r="T100" s="234"/>
      <c r="U100" s="234"/>
      <c r="V100" s="234">
        <v>25</v>
      </c>
      <c r="W100" s="231"/>
      <c r="X100" s="234">
        <f t="shared" si="10"/>
        <v>2093.5</v>
      </c>
      <c r="Y100" s="234">
        <f t="shared" si="9"/>
        <v>32906.5</v>
      </c>
      <c r="Z100" s="296">
        <v>9607572581</v>
      </c>
      <c r="AA100" s="298">
        <v>45597</v>
      </c>
      <c r="AB100" s="235"/>
      <c r="AC100" s="264"/>
    </row>
    <row r="101" spans="1:29" s="236" customFormat="1" x14ac:dyDescent="0.25">
      <c r="A101" s="232"/>
      <c r="B101" s="302">
        <v>95</v>
      </c>
      <c r="C101" s="295" t="s">
        <v>1603</v>
      </c>
      <c r="D101" s="232" t="s">
        <v>1604</v>
      </c>
      <c r="E101" s="232" t="s">
        <v>85</v>
      </c>
      <c r="F101" s="232" t="s">
        <v>87</v>
      </c>
      <c r="G101" s="295">
        <v>1</v>
      </c>
      <c r="H101" s="296" t="s">
        <v>1548</v>
      </c>
      <c r="I101" s="297" t="s">
        <v>1067</v>
      </c>
      <c r="J101" s="232" t="s">
        <v>833</v>
      </c>
      <c r="K101" s="233">
        <v>17500</v>
      </c>
      <c r="L101" s="284">
        <f>IF(K101&gt;=Datos!$D$14,(Datos!$D$14*Datos!$C$14),IF(K101&lt;=Datos!$D$14,(K101*Datos!$C$14)))</f>
        <v>502.25</v>
      </c>
      <c r="M101" s="284">
        <f>IF(K101&gt;=Datos!$D$15,(Datos!$D$15*Datos!$C$15),IF(K101&lt;=Datos!$D$15,(K101*Datos!$C$15)))</f>
        <v>532</v>
      </c>
      <c r="N101" s="231"/>
      <c r="O101" s="231">
        <f>K101-(L101+M101+N101)</f>
        <v>16465.75</v>
      </c>
      <c r="P101" s="223">
        <f>IF(O101&lt;=Datos!$G$7,"0",IF(O101&lt;=Datos!$G$8,(O101-Datos!$F$8)*Datos!$I$6,IF(O101&lt;=Datos!$G$9,Datos!$I$8+(O101-Datos!$F$9)*Datos!$J$6,IF(O101&gt;=Datos!$F$10,(Datos!$I$8+Datos!$J$8)+(O101-Datos!$F$10)*Datos!$K$6))))-W101</f>
        <v>0</v>
      </c>
      <c r="Q101" s="231">
        <v>0</v>
      </c>
      <c r="R101" s="234"/>
      <c r="S101" s="234"/>
      <c r="T101" s="234"/>
      <c r="U101" s="234"/>
      <c r="V101" s="234">
        <v>25</v>
      </c>
      <c r="W101" s="231"/>
      <c r="X101" s="234">
        <f t="shared" si="10"/>
        <v>1059.25</v>
      </c>
      <c r="Y101" s="234">
        <f t="shared" si="9"/>
        <v>16440.75</v>
      </c>
      <c r="Z101" s="296">
        <v>9607405806</v>
      </c>
      <c r="AA101" s="298">
        <v>45536</v>
      </c>
      <c r="AB101" s="235"/>
      <c r="AC101" s="264"/>
    </row>
    <row r="102" spans="1:29" s="236" customFormat="1" x14ac:dyDescent="0.25">
      <c r="A102" s="232"/>
      <c r="B102" s="302">
        <v>96</v>
      </c>
      <c r="C102" s="295" t="s">
        <v>1452</v>
      </c>
      <c r="D102" s="232" t="s">
        <v>1453</v>
      </c>
      <c r="E102" s="232" t="s">
        <v>85</v>
      </c>
      <c r="F102" s="232" t="s">
        <v>87</v>
      </c>
      <c r="G102" s="295">
        <v>4</v>
      </c>
      <c r="H102" s="296" t="s">
        <v>1211</v>
      </c>
      <c r="I102" s="297" t="s">
        <v>1067</v>
      </c>
      <c r="J102" s="232" t="s">
        <v>1454</v>
      </c>
      <c r="K102" s="233">
        <v>33422.03</v>
      </c>
      <c r="L102" s="284">
        <f>IF(K102&gt;=Datos!$D$14,(Datos!$D$14*Datos!$C$14),IF(K102&lt;=Datos!$D$14,(K102*Datos!$C$14)))</f>
        <v>959.21226100000001</v>
      </c>
      <c r="M102" s="284">
        <f>IF(K102&gt;=Datos!$D$15,(Datos!$D$15*Datos!$C$15),IF(K102&lt;=Datos!$D$15,(K102*Datos!$C$15)))</f>
        <v>1016.029712</v>
      </c>
      <c r="N102" s="231"/>
      <c r="O102" s="231">
        <f t="shared" si="11"/>
        <v>31446.788026999999</v>
      </c>
      <c r="P102" s="223">
        <f>IF(O102&lt;=Datos!$G$7,"0",IF(O102&lt;=Datos!$G$8,(O102-Datos!$F$8)*Datos!$I$6,IF(O102&lt;=Datos!$G$9,Datos!$I$8+(O102-Datos!$F$9)*Datos!$J$6,IF(O102&gt;=Datos!$F$10,(Datos!$I$8+Datos!$J$8)+(O102-Datos!$F$10)*Datos!$K$6))))-W102</f>
        <v>0</v>
      </c>
      <c r="Q102" s="231">
        <v>0</v>
      </c>
      <c r="R102" s="234"/>
      <c r="S102" s="234"/>
      <c r="T102" s="234"/>
      <c r="U102" s="234"/>
      <c r="V102" s="234">
        <v>25</v>
      </c>
      <c r="W102" s="231"/>
      <c r="X102" s="234">
        <f>SUM(P102:V102)+(L102+M102+N102)-W102</f>
        <v>2000.2419730000001</v>
      </c>
      <c r="Y102" s="234">
        <f>+K102-X102</f>
        <v>31421.788026999999</v>
      </c>
      <c r="Z102" s="296"/>
      <c r="AA102" s="298">
        <v>45231</v>
      </c>
      <c r="AB102" s="235"/>
      <c r="AC102" s="264"/>
    </row>
    <row r="103" spans="1:29" s="236" customFormat="1" x14ac:dyDescent="0.25">
      <c r="A103" s="232"/>
      <c r="B103" s="302">
        <v>97</v>
      </c>
      <c r="C103" s="295" t="s">
        <v>1838</v>
      </c>
      <c r="D103" s="232" t="s">
        <v>1839</v>
      </c>
      <c r="E103" s="232" t="s">
        <v>85</v>
      </c>
      <c r="F103" s="232" t="s">
        <v>87</v>
      </c>
      <c r="G103" s="295">
        <v>4</v>
      </c>
      <c r="H103" s="296" t="s">
        <v>1211</v>
      </c>
      <c r="I103" s="297" t="s">
        <v>1067</v>
      </c>
      <c r="J103" s="232" t="s">
        <v>835</v>
      </c>
      <c r="K103" s="233">
        <v>68250</v>
      </c>
      <c r="L103" s="284">
        <f>IF(K103&gt;=Datos!$D$14,(Datos!$D$14*Datos!$C$14),IF(K103&lt;=Datos!$D$14,(K103*Datos!$C$14)))</f>
        <v>1958.7750000000001</v>
      </c>
      <c r="M103" s="284">
        <f>IF(K103&gt;=Datos!$D$15,(Datos!$D$15*Datos!$C$15),IF(K103&lt;=Datos!$D$15,(K103*Datos!$C$15)))</f>
        <v>2074.8000000000002</v>
      </c>
      <c r="N103" s="231"/>
      <c r="O103" s="231">
        <f t="shared" ref="O103" si="12">K103-(L103+M103+N103)</f>
        <v>64216.425000000003</v>
      </c>
      <c r="P103" s="223">
        <f>IF(O103&lt;=Datos!$G$7,"0",IF(O103&lt;=Datos!$G$8,(O103-Datos!$F$8)*Datos!$I$6,IF(O103&lt;=Datos!$G$9,Datos!$I$8+(O103-Datos!$F$9)*Datos!$J$6,IF(O103&gt;=Datos!$F$10,(Datos!$I$8+Datos!$J$8)+(O103-Datos!$F$10)*Datos!$K$6))))-W103</f>
        <v>5039.1606666666667</v>
      </c>
      <c r="Q103" s="231">
        <v>0</v>
      </c>
      <c r="R103" s="234"/>
      <c r="S103" s="234"/>
      <c r="T103" s="234"/>
      <c r="U103" s="234"/>
      <c r="V103" s="234">
        <v>25</v>
      </c>
      <c r="W103" s="231"/>
      <c r="X103" s="234">
        <f>SUM(P103:V103)+(L103+M103+N103)-W103</f>
        <v>9097.7356666666674</v>
      </c>
      <c r="Y103" s="234">
        <f>+K103-X103</f>
        <v>59152.264333333333</v>
      </c>
      <c r="Z103" s="296">
        <v>9607759058</v>
      </c>
      <c r="AA103" s="298">
        <v>45627</v>
      </c>
      <c r="AB103" s="235"/>
      <c r="AC103" s="264"/>
    </row>
    <row r="104" spans="1:29" s="236" customFormat="1" x14ac:dyDescent="0.25">
      <c r="A104" s="232"/>
      <c r="B104" s="302">
        <v>98</v>
      </c>
      <c r="C104" s="295" t="s">
        <v>1621</v>
      </c>
      <c r="D104" s="232" t="s">
        <v>1622</v>
      </c>
      <c r="E104" s="232" t="s">
        <v>85</v>
      </c>
      <c r="F104" s="232" t="s">
        <v>87</v>
      </c>
      <c r="G104" s="295">
        <v>1</v>
      </c>
      <c r="H104" s="296" t="s">
        <v>1156</v>
      </c>
      <c r="I104" s="297" t="s">
        <v>1062</v>
      </c>
      <c r="J104" s="232" t="s">
        <v>841</v>
      </c>
      <c r="K104" s="233">
        <v>33000</v>
      </c>
      <c r="L104" s="284">
        <f>IF(K104&gt;=Datos!$D$14,(Datos!$D$14*Datos!$C$14),IF(K104&lt;=Datos!$D$14,(K104*Datos!$C$14)))</f>
        <v>947.1</v>
      </c>
      <c r="M104" s="284">
        <f>IF(K104&gt;=Datos!$D$15,(Datos!$D$15*Datos!$C$15),IF(K104&lt;=Datos!$D$15,(K104*Datos!$C$15)))</f>
        <v>1003.2</v>
      </c>
      <c r="N104" s="231"/>
      <c r="O104" s="231">
        <f t="shared" si="11"/>
        <v>31049.7</v>
      </c>
      <c r="P104" s="223">
        <f>IF(O104&lt;=Datos!$G$7,"0",IF(O104&lt;=Datos!$G$8,(O104-Datos!$F$8)*Datos!$I$6,IF(O104&lt;=Datos!$G$9,Datos!$I$8+(O104-Datos!$F$9)*Datos!$J$6,IF(O104&gt;=Datos!$F$10,(Datos!$I$8+Datos!$J$8)+(O104-Datos!$F$10)*Datos!$K$6))))-W104</f>
        <v>0</v>
      </c>
      <c r="Q104" s="231">
        <v>0</v>
      </c>
      <c r="R104" s="234"/>
      <c r="S104" s="234"/>
      <c r="T104" s="234"/>
      <c r="U104" s="234"/>
      <c r="V104" s="234">
        <v>25</v>
      </c>
      <c r="W104" s="231"/>
      <c r="X104" s="234">
        <f>SUM(P104:V104)+(L104+M104+N104)-W104</f>
        <v>1975.3000000000002</v>
      </c>
      <c r="Y104" s="234">
        <f>+K104-X104</f>
        <v>31024.7</v>
      </c>
      <c r="Z104" s="296">
        <v>9607405797</v>
      </c>
      <c r="AA104" s="298">
        <v>45536</v>
      </c>
      <c r="AB104" s="235"/>
      <c r="AC104" s="264"/>
    </row>
    <row r="105" spans="1:29" s="236" customFormat="1" x14ac:dyDescent="0.25">
      <c r="A105" s="232"/>
      <c r="B105" s="302">
        <v>99</v>
      </c>
      <c r="C105" s="295" t="s">
        <v>382</v>
      </c>
      <c r="D105" s="232" t="s">
        <v>623</v>
      </c>
      <c r="E105" s="232" t="s">
        <v>86</v>
      </c>
      <c r="F105" s="232" t="s">
        <v>87</v>
      </c>
      <c r="G105" s="295">
        <v>5</v>
      </c>
      <c r="H105" s="296" t="s">
        <v>1210</v>
      </c>
      <c r="I105" s="297" t="s">
        <v>1060</v>
      </c>
      <c r="J105" s="232" t="s">
        <v>850</v>
      </c>
      <c r="K105" s="233">
        <f>24150+10850</f>
        <v>35000</v>
      </c>
      <c r="L105" s="284">
        <f>IF(K105&gt;=Datos!$D$14,(Datos!$D$14*Datos!$C$14),IF(K105&lt;=Datos!$D$14,(K105*Datos!$C$14)))</f>
        <v>1004.5</v>
      </c>
      <c r="M105" s="284">
        <f>IF(K105&gt;=Datos!$D$15,(Datos!$D$15*Datos!$C$15),IF(K105&lt;=Datos!$D$15,(K105*Datos!$C$15)))</f>
        <v>1064</v>
      </c>
      <c r="N105" s="231"/>
      <c r="O105" s="231">
        <f t="shared" si="11"/>
        <v>32931.5</v>
      </c>
      <c r="P105" s="223">
        <f>IF(O105&lt;=Datos!$G$7,"0",IF(O105&lt;=Datos!$G$8,(O105-Datos!$F$8)*Datos!$I$6,IF(O105&lt;=Datos!$G$9,Datos!$I$8+(O105-Datos!$F$9)*Datos!$J$6,IF(O105&gt;=Datos!$F$10,(Datos!$I$8+Datos!$J$8)+(O105-Datos!$F$10)*Datos!$K$6))))-W105</f>
        <v>0</v>
      </c>
      <c r="Q105" s="231">
        <f>IFERROR(VLOOKUP(C105,[1]Hoja1!$D$5:$E$58,2,FALSE),0)</f>
        <v>0</v>
      </c>
      <c r="R105" s="234"/>
      <c r="S105" s="234"/>
      <c r="T105" s="234"/>
      <c r="U105" s="234"/>
      <c r="V105" s="234">
        <v>25</v>
      </c>
      <c r="W105" s="231"/>
      <c r="X105" s="234">
        <f t="shared" si="10"/>
        <v>2093.5</v>
      </c>
      <c r="Y105" s="234">
        <f t="shared" si="9"/>
        <v>32906.5</v>
      </c>
      <c r="Z105" s="296" t="s">
        <v>142</v>
      </c>
      <c r="AA105" s="298">
        <v>44228</v>
      </c>
      <c r="AB105" s="235"/>
      <c r="AC105" s="264"/>
    </row>
    <row r="106" spans="1:29" s="236" customFormat="1" x14ac:dyDescent="0.25">
      <c r="A106" s="232"/>
      <c r="B106" s="302">
        <v>100</v>
      </c>
      <c r="C106" s="295" t="s">
        <v>1035</v>
      </c>
      <c r="D106" s="232" t="s">
        <v>1033</v>
      </c>
      <c r="E106" s="232" t="s">
        <v>85</v>
      </c>
      <c r="F106" s="232" t="s">
        <v>87</v>
      </c>
      <c r="G106" s="295">
        <v>5</v>
      </c>
      <c r="H106" s="296" t="s">
        <v>1210</v>
      </c>
      <c r="I106" s="297" t="s">
        <v>1060</v>
      </c>
      <c r="J106" s="232" t="s">
        <v>960</v>
      </c>
      <c r="K106" s="233">
        <v>60000</v>
      </c>
      <c r="L106" s="284">
        <f>IF(K106&gt;=Datos!$D$14,(Datos!$D$14*Datos!$C$14),IF(K106&lt;=Datos!$D$14,(K106*Datos!$C$14)))</f>
        <v>1722</v>
      </c>
      <c r="M106" s="284">
        <f>IF(K106&gt;=Datos!$D$15,(Datos!$D$15*Datos!$C$15),IF(K106&lt;=Datos!$D$15,(K106*Datos!$C$15)))</f>
        <v>1824</v>
      </c>
      <c r="N106" s="231"/>
      <c r="O106" s="231">
        <f t="shared" si="11"/>
        <v>56454</v>
      </c>
      <c r="P106" s="223">
        <f>IF(O106&lt;=Datos!$G$7,"0",IF(O106&lt;=Datos!$G$8,(O106-Datos!$F$8)*Datos!$I$6,IF(O106&lt;=Datos!$G$9,Datos!$I$8+(O106-Datos!$F$9)*Datos!$J$6,IF(O106&gt;=Datos!$F$10,(Datos!$I$8+Datos!$J$8)+(O106-Datos!$F$10)*Datos!$K$6))))-W106</f>
        <v>3486.6756666666661</v>
      </c>
      <c r="Q106" s="231">
        <f>IFERROR(VLOOKUP(C106,[1]Hoja1!$D$5:$E$58,2,FALSE),0)</f>
        <v>0</v>
      </c>
      <c r="R106" s="234"/>
      <c r="S106" s="234"/>
      <c r="T106" s="234"/>
      <c r="U106" s="234"/>
      <c r="V106" s="234">
        <v>25</v>
      </c>
      <c r="W106" s="231"/>
      <c r="X106" s="234">
        <f t="shared" si="10"/>
        <v>7057.6756666666661</v>
      </c>
      <c r="Y106" s="234">
        <f t="shared" si="9"/>
        <v>52942.324333333338</v>
      </c>
      <c r="Z106" s="296"/>
      <c r="AA106" s="298">
        <v>44774</v>
      </c>
      <c r="AB106" s="235"/>
      <c r="AC106" s="264"/>
    </row>
    <row r="107" spans="1:29" s="236" customFormat="1" x14ac:dyDescent="0.25">
      <c r="A107" s="232"/>
      <c r="B107" s="302">
        <v>101</v>
      </c>
      <c r="C107" s="295" t="s">
        <v>1623</v>
      </c>
      <c r="D107" s="232" t="s">
        <v>1624</v>
      </c>
      <c r="E107" s="232" t="s">
        <v>85</v>
      </c>
      <c r="F107" s="232" t="s">
        <v>87</v>
      </c>
      <c r="G107" s="295">
        <v>5</v>
      </c>
      <c r="H107" s="296" t="s">
        <v>1662</v>
      </c>
      <c r="I107" s="297" t="s">
        <v>1062</v>
      </c>
      <c r="J107" s="232" t="s">
        <v>972</v>
      </c>
      <c r="K107" s="233">
        <v>60000</v>
      </c>
      <c r="L107" s="284">
        <f>IF(K107&gt;=Datos!$D$14,(Datos!$D$14*Datos!$C$14),IF(K107&lt;=Datos!$D$14,(K107*Datos!$C$14)))</f>
        <v>1722</v>
      </c>
      <c r="M107" s="284">
        <f>IF(K107&gt;=Datos!$D$15,(Datos!$D$15*Datos!$C$15),IF(K107&lt;=Datos!$D$15,(K107*Datos!$C$15)))</f>
        <v>1824</v>
      </c>
      <c r="N107" s="231"/>
      <c r="O107" s="231">
        <f t="shared" si="11"/>
        <v>56454</v>
      </c>
      <c r="P107" s="223">
        <f>IF(O107&lt;=Datos!$G$7,"0",IF(O107&lt;=Datos!$G$8,(O107-Datos!$F$8)*Datos!$I$6,IF(O107&lt;=Datos!$G$9,Datos!$I$8+(O107-Datos!$F$9)*Datos!$J$6,IF(O107&gt;=Datos!$F$10,(Datos!$I$8+Datos!$J$8)+(O107-Datos!$F$10)*Datos!$K$6))))-W107</f>
        <v>3486.6756666666661</v>
      </c>
      <c r="Q107" s="231">
        <v>0</v>
      </c>
      <c r="R107" s="234"/>
      <c r="S107" s="234"/>
      <c r="T107" s="234"/>
      <c r="U107" s="234"/>
      <c r="V107" s="234">
        <v>25</v>
      </c>
      <c r="W107" s="231"/>
      <c r="X107" s="234">
        <f t="shared" si="10"/>
        <v>7057.6756666666661</v>
      </c>
      <c r="Y107" s="234">
        <f t="shared" si="9"/>
        <v>52942.324333333338</v>
      </c>
      <c r="Z107" s="296">
        <v>9607405814</v>
      </c>
      <c r="AA107" s="298">
        <v>45536</v>
      </c>
      <c r="AB107" s="235"/>
      <c r="AC107" s="264"/>
    </row>
    <row r="108" spans="1:29" s="236" customFormat="1" x14ac:dyDescent="0.25">
      <c r="A108" s="232"/>
      <c r="B108" s="302">
        <v>102</v>
      </c>
      <c r="C108" s="295" t="s">
        <v>1842</v>
      </c>
      <c r="D108" s="232" t="s">
        <v>1843</v>
      </c>
      <c r="E108" s="232" t="s">
        <v>85</v>
      </c>
      <c r="F108" s="232" t="s">
        <v>87</v>
      </c>
      <c r="G108" s="295">
        <v>1</v>
      </c>
      <c r="H108" s="296" t="s">
        <v>1548</v>
      </c>
      <c r="I108" s="297" t="s">
        <v>1062</v>
      </c>
      <c r="J108" s="232" t="s">
        <v>833</v>
      </c>
      <c r="K108" s="233">
        <v>17500</v>
      </c>
      <c r="L108" s="284">
        <f>IF(K108&gt;=Datos!$D$14,(Datos!$D$14*Datos!$C$14),IF(K108&lt;=Datos!$D$14,(K108*Datos!$C$14)))</f>
        <v>502.25</v>
      </c>
      <c r="M108" s="284">
        <f>IF(K108&gt;=Datos!$D$15,(Datos!$D$15*Datos!$C$15),IF(K108&lt;=Datos!$D$15,(K108*Datos!$C$15)))</f>
        <v>532</v>
      </c>
      <c r="N108" s="231"/>
      <c r="O108" s="231">
        <f t="shared" ref="O108" si="13">K108-(L108+M108+N108)</f>
        <v>16465.75</v>
      </c>
      <c r="P108" s="223">
        <f>IF(O108&lt;=Datos!$G$7,"0",IF(O108&lt;=Datos!$G$8,(O108-Datos!$F$8)*Datos!$I$6,IF(O108&lt;=Datos!$G$9,Datos!$I$8+(O108-Datos!$F$9)*Datos!$J$6,IF(O108&gt;=Datos!$F$10,(Datos!$I$8+Datos!$J$8)+(O108-Datos!$F$10)*Datos!$K$6))))-W108</f>
        <v>0</v>
      </c>
      <c r="Q108" s="231"/>
      <c r="R108" s="234"/>
      <c r="S108" s="234"/>
      <c r="T108" s="234"/>
      <c r="U108" s="234"/>
      <c r="V108" s="234">
        <v>25</v>
      </c>
      <c r="W108" s="231"/>
      <c r="X108" s="234">
        <f t="shared" ref="X108" si="14">SUM(P108:V108)+(L108+M108+N108)-W108</f>
        <v>1059.25</v>
      </c>
      <c r="Y108" s="234">
        <f t="shared" ref="Y108" si="15">+K108-X108</f>
        <v>16440.75</v>
      </c>
      <c r="Z108" s="296">
        <v>9607759047</v>
      </c>
      <c r="AA108" s="298">
        <v>45627</v>
      </c>
      <c r="AB108" s="235"/>
      <c r="AC108" s="264"/>
    </row>
    <row r="109" spans="1:29" s="236" customFormat="1" x14ac:dyDescent="0.25">
      <c r="A109" s="232"/>
      <c r="B109" s="302">
        <v>103</v>
      </c>
      <c r="C109" s="295" t="s">
        <v>384</v>
      </c>
      <c r="D109" s="232" t="s">
        <v>625</v>
      </c>
      <c r="E109" s="232" t="s">
        <v>85</v>
      </c>
      <c r="F109" s="232" t="s">
        <v>87</v>
      </c>
      <c r="G109" s="295">
        <v>5</v>
      </c>
      <c r="H109" s="296" t="s">
        <v>1210</v>
      </c>
      <c r="I109" s="297" t="s">
        <v>1067</v>
      </c>
      <c r="J109" s="232" t="s">
        <v>837</v>
      </c>
      <c r="K109" s="233">
        <f>50000+10000</f>
        <v>60000</v>
      </c>
      <c r="L109" s="284">
        <f>IF(K109&gt;=Datos!$D$14,(Datos!$D$14*Datos!$C$14),IF(K109&lt;=Datos!$D$14,(K109*Datos!$C$14)))</f>
        <v>1722</v>
      </c>
      <c r="M109" s="284">
        <f>IF(K109&gt;=Datos!$D$15,(Datos!$D$15*Datos!$C$15),IF(K109&lt;=Datos!$D$15,(K109*Datos!$C$15)))</f>
        <v>1824</v>
      </c>
      <c r="N109" s="231"/>
      <c r="O109" s="231">
        <f t="shared" si="11"/>
        <v>56454</v>
      </c>
      <c r="P109" s="223">
        <f>IF(O109&lt;=Datos!$G$7,"0",IF(O109&lt;=Datos!$G$8,(O109-Datos!$F$8)*Datos!$I$6,IF(O109&lt;=Datos!$G$9,Datos!$I$8+(O109-Datos!$F$9)*Datos!$J$6,IF(O109&gt;=Datos!$F$10,(Datos!$I$8+Datos!$J$8)+(O109-Datos!$F$10)*Datos!$K$6))))-W109</f>
        <v>3486.6756666666661</v>
      </c>
      <c r="Q109" s="231">
        <f>IFERROR(VLOOKUP(C109,[1]Hoja1!$D$5:$E$58,2,FALSE),0)</f>
        <v>0</v>
      </c>
      <c r="R109" s="234"/>
      <c r="S109" s="234"/>
      <c r="T109" s="234"/>
      <c r="U109" s="234"/>
      <c r="V109" s="234">
        <v>25</v>
      </c>
      <c r="W109" s="231"/>
      <c r="X109" s="234">
        <f t="shared" si="10"/>
        <v>7057.6756666666661</v>
      </c>
      <c r="Y109" s="234">
        <f t="shared" si="9"/>
        <v>52942.324333333338</v>
      </c>
      <c r="Z109" s="296" t="s">
        <v>144</v>
      </c>
      <c r="AA109" s="298">
        <v>44511</v>
      </c>
      <c r="AB109" s="235"/>
      <c r="AC109" s="264"/>
    </row>
    <row r="110" spans="1:29" s="236" customFormat="1" x14ac:dyDescent="0.25">
      <c r="A110" s="232"/>
      <c r="B110" s="302">
        <v>104</v>
      </c>
      <c r="C110" s="295" t="s">
        <v>385</v>
      </c>
      <c r="D110" s="232" t="s">
        <v>626</v>
      </c>
      <c r="E110" s="232" t="s">
        <v>85</v>
      </c>
      <c r="F110" s="232" t="s">
        <v>87</v>
      </c>
      <c r="G110" s="295">
        <v>5</v>
      </c>
      <c r="H110" s="296" t="s">
        <v>1210</v>
      </c>
      <c r="I110" s="297" t="s">
        <v>1062</v>
      </c>
      <c r="J110" s="232" t="s">
        <v>837</v>
      </c>
      <c r="K110" s="233">
        <f>64350+650</f>
        <v>65000</v>
      </c>
      <c r="L110" s="284">
        <f>IF(K110&gt;=Datos!$D$14,(Datos!$D$14*Datos!$C$14),IF(K110&lt;=Datos!$D$14,(K110*Datos!$C$14)))</f>
        <v>1865.5</v>
      </c>
      <c r="M110" s="284">
        <f>IF(K110&gt;=Datos!$D$15,(Datos!$D$15*Datos!$C$15),IF(K110&lt;=Datos!$D$15,(K110*Datos!$C$15)))</f>
        <v>1976</v>
      </c>
      <c r="N110" s="231"/>
      <c r="O110" s="231">
        <f t="shared" si="11"/>
        <v>61158.5</v>
      </c>
      <c r="P110" s="223">
        <f>IF(O110&lt;=Datos!$G$7,"0",IF(O110&lt;=Datos!$G$8,(O110-Datos!$F$8)*Datos!$I$6,IF(O110&lt;=Datos!$G$9,Datos!$I$8+(O110-Datos!$F$9)*Datos!$J$6,IF(O110&gt;=Datos!$F$10,(Datos!$I$8+Datos!$J$8)+(O110-Datos!$F$10)*Datos!$K$6))))-W110</f>
        <v>4427.5756666666657</v>
      </c>
      <c r="Q110" s="231">
        <f>IFERROR(VLOOKUP(C110,[1]Hoja1!$D$5:$E$58,2,FALSE),0)</f>
        <v>0</v>
      </c>
      <c r="R110" s="234"/>
      <c r="S110" s="234"/>
      <c r="T110" s="234"/>
      <c r="U110" s="234"/>
      <c r="V110" s="234">
        <v>25</v>
      </c>
      <c r="W110" s="231"/>
      <c r="X110" s="234">
        <f t="shared" si="10"/>
        <v>8294.0756666666657</v>
      </c>
      <c r="Y110" s="234">
        <f t="shared" si="9"/>
        <v>56705.924333333336</v>
      </c>
      <c r="Z110" s="296" t="s">
        <v>145</v>
      </c>
      <c r="AA110" s="298">
        <v>44197</v>
      </c>
      <c r="AB110" s="235"/>
      <c r="AC110" s="264"/>
    </row>
    <row r="111" spans="1:29" s="236" customFormat="1" x14ac:dyDescent="0.25">
      <c r="A111" s="232"/>
      <c r="B111" s="302">
        <v>105</v>
      </c>
      <c r="C111" s="295" t="s">
        <v>1108</v>
      </c>
      <c r="D111" s="232" t="s">
        <v>1109</v>
      </c>
      <c r="E111" s="232" t="s">
        <v>86</v>
      </c>
      <c r="F111" s="232" t="s">
        <v>87</v>
      </c>
      <c r="G111" s="295">
        <v>1</v>
      </c>
      <c r="H111" s="296" t="s">
        <v>1548</v>
      </c>
      <c r="I111" s="297" t="s">
        <v>1062</v>
      </c>
      <c r="J111" s="232" t="s">
        <v>852</v>
      </c>
      <c r="K111" s="233">
        <v>18000</v>
      </c>
      <c r="L111" s="284">
        <f>IF(K111&gt;=Datos!$D$14,(Datos!$D$14*Datos!$C$14),IF(K111&lt;=Datos!$D$14,(K111*Datos!$C$14)))</f>
        <v>516.6</v>
      </c>
      <c r="M111" s="284">
        <f>IF(K111&gt;=Datos!$D$15,(Datos!$D$15*Datos!$C$15),IF(K111&lt;=Datos!$D$15,(K111*Datos!$C$15)))</f>
        <v>547.20000000000005</v>
      </c>
      <c r="N111" s="231"/>
      <c r="O111" s="231">
        <f t="shared" si="11"/>
        <v>16936.2</v>
      </c>
      <c r="P111" s="223">
        <f>IF(O111&lt;=Datos!$G$7,"0",IF(O111&lt;=Datos!$G$8,(O111-Datos!$F$8)*Datos!$I$6,IF(O111&lt;=Datos!$G$9,Datos!$I$8+(O111-Datos!$F$9)*Datos!$J$6,IF(O111&gt;=Datos!$F$10,(Datos!$I$8+Datos!$J$8)+(O111-Datos!$F$10)*Datos!$K$6))))-W111</f>
        <v>0</v>
      </c>
      <c r="Q111" s="231">
        <f>IFERROR(VLOOKUP(C111,[1]Hoja1!$D$5:$E$58,2,FALSE),0)</f>
        <v>0</v>
      </c>
      <c r="R111" s="234"/>
      <c r="S111" s="234"/>
      <c r="T111" s="234"/>
      <c r="U111" s="234"/>
      <c r="V111" s="234">
        <v>25</v>
      </c>
      <c r="W111" s="231"/>
      <c r="X111" s="234">
        <f t="shared" si="10"/>
        <v>1088.8000000000002</v>
      </c>
      <c r="Y111" s="234">
        <f t="shared" si="9"/>
        <v>16911.2</v>
      </c>
      <c r="Z111" s="296"/>
      <c r="AA111" s="298">
        <v>44866</v>
      </c>
      <c r="AB111" s="235"/>
      <c r="AC111" s="264"/>
    </row>
    <row r="112" spans="1:29" s="236" customFormat="1" x14ac:dyDescent="0.25">
      <c r="A112" s="232"/>
      <c r="B112" s="302">
        <v>106</v>
      </c>
      <c r="C112" s="295" t="s">
        <v>386</v>
      </c>
      <c r="D112" s="232" t="s">
        <v>627</v>
      </c>
      <c r="E112" s="232" t="s">
        <v>85</v>
      </c>
      <c r="F112" s="232" t="s">
        <v>87</v>
      </c>
      <c r="G112" s="295">
        <v>5</v>
      </c>
      <c r="H112" s="296" t="s">
        <v>1210</v>
      </c>
      <c r="I112" s="297" t="s">
        <v>1062</v>
      </c>
      <c r="J112" s="232" t="s">
        <v>837</v>
      </c>
      <c r="K112" s="233">
        <f>35000+10000+20000</f>
        <v>65000</v>
      </c>
      <c r="L112" s="284">
        <f>IF(K112&gt;=Datos!$D$14,(Datos!$D$14*Datos!$C$14),IF(K112&lt;=Datos!$D$14,(K112*Datos!$C$14)))</f>
        <v>1865.5</v>
      </c>
      <c r="M112" s="284">
        <f>IF(K112&gt;=Datos!$D$15,(Datos!$D$15*Datos!$C$15),IF(K112&lt;=Datos!$D$15,(K112*Datos!$C$15)))</f>
        <v>1976</v>
      </c>
      <c r="N112" s="231"/>
      <c r="O112" s="231">
        <f t="shared" si="11"/>
        <v>61158.5</v>
      </c>
      <c r="P112" s="223">
        <f>IF(O112&lt;=Datos!$G$7,"0",IF(O112&lt;=Datos!$G$8,(O112-Datos!$F$8)*Datos!$I$6,IF(O112&lt;=Datos!$G$9,Datos!$I$8+(O112-Datos!$F$9)*Datos!$J$6,IF(O112&gt;=Datos!$F$10,(Datos!$I$8+Datos!$J$8)+(O112-Datos!$F$10)*Datos!$K$6))))-W112</f>
        <v>4427.5756666666657</v>
      </c>
      <c r="Q112" s="231">
        <f>IFERROR(VLOOKUP(C112,[1]Hoja1!$D$5:$E$58,2,FALSE),0)</f>
        <v>0</v>
      </c>
      <c r="R112" s="234"/>
      <c r="S112" s="234"/>
      <c r="T112" s="234"/>
      <c r="U112" s="234"/>
      <c r="V112" s="234">
        <v>25</v>
      </c>
      <c r="W112" s="231"/>
      <c r="X112" s="234">
        <f t="shared" si="10"/>
        <v>8294.0756666666657</v>
      </c>
      <c r="Y112" s="234">
        <f t="shared" si="9"/>
        <v>56705.924333333336</v>
      </c>
      <c r="Z112" s="296" t="s">
        <v>146</v>
      </c>
      <c r="AA112" s="298">
        <v>44197</v>
      </c>
      <c r="AB112" s="235"/>
      <c r="AC112" s="264"/>
    </row>
    <row r="113" spans="1:29" s="236" customFormat="1" x14ac:dyDescent="0.25">
      <c r="A113" s="232"/>
      <c r="B113" s="302">
        <v>107</v>
      </c>
      <c r="C113" s="295" t="s">
        <v>387</v>
      </c>
      <c r="D113" s="232" t="s">
        <v>628</v>
      </c>
      <c r="E113" s="232" t="s">
        <v>86</v>
      </c>
      <c r="F113" s="232" t="s">
        <v>87</v>
      </c>
      <c r="G113" s="295">
        <v>1</v>
      </c>
      <c r="H113" s="296" t="s">
        <v>1548</v>
      </c>
      <c r="I113" s="297" t="s">
        <v>1062</v>
      </c>
      <c r="J113" s="232" t="s">
        <v>833</v>
      </c>
      <c r="K113" s="233">
        <f>13860+4140</f>
        <v>18000</v>
      </c>
      <c r="L113" s="284">
        <f>IF(K113&gt;=Datos!$D$14,(Datos!$D$14*Datos!$C$14),IF(K113&lt;=Datos!$D$14,(K113*Datos!$C$14)))</f>
        <v>516.6</v>
      </c>
      <c r="M113" s="284">
        <f>IF(K113&gt;=Datos!$D$15,(Datos!$D$15*Datos!$C$15),IF(K113&lt;=Datos!$D$15,(K113*Datos!$C$15)))</f>
        <v>547.20000000000005</v>
      </c>
      <c r="N113" s="231"/>
      <c r="O113" s="231">
        <f t="shared" si="11"/>
        <v>16936.2</v>
      </c>
      <c r="P113" s="223">
        <f>IF(O113&lt;=Datos!$G$7,"0",IF(O113&lt;=Datos!$G$8,(O113-Datos!$F$8)*Datos!$I$6,IF(O113&lt;=Datos!$G$9,Datos!$I$8+(O113-Datos!$F$9)*Datos!$J$6,IF(O113&gt;=Datos!$F$10,(Datos!$I$8+Datos!$J$8)+(O113-Datos!$F$10)*Datos!$K$6))))-W113</f>
        <v>0</v>
      </c>
      <c r="Q113" s="231">
        <f>IFERROR(VLOOKUP(C113,[1]Hoja1!$D$5:$E$58,2,FALSE),0)</f>
        <v>0</v>
      </c>
      <c r="R113" s="234"/>
      <c r="S113" s="234"/>
      <c r="T113" s="234"/>
      <c r="U113" s="234"/>
      <c r="V113" s="234">
        <v>25</v>
      </c>
      <c r="W113" s="231"/>
      <c r="X113" s="234">
        <f t="shared" si="10"/>
        <v>1088.8000000000002</v>
      </c>
      <c r="Y113" s="234">
        <f t="shared" si="9"/>
        <v>16911.2</v>
      </c>
      <c r="Z113" s="296" t="s">
        <v>147</v>
      </c>
      <c r="AA113" s="298">
        <v>44197</v>
      </c>
      <c r="AB113" s="235"/>
      <c r="AC113" s="264"/>
    </row>
    <row r="114" spans="1:29" s="236" customFormat="1" x14ac:dyDescent="0.25">
      <c r="A114" s="232"/>
      <c r="B114" s="302">
        <v>108</v>
      </c>
      <c r="C114" s="295" t="s">
        <v>388</v>
      </c>
      <c r="D114" s="297" t="s">
        <v>629</v>
      </c>
      <c r="E114" s="232" t="s">
        <v>86</v>
      </c>
      <c r="F114" s="232" t="s">
        <v>87</v>
      </c>
      <c r="G114" s="295">
        <v>1</v>
      </c>
      <c r="H114" s="296" t="s">
        <v>1835</v>
      </c>
      <c r="I114" s="297" t="s">
        <v>1061</v>
      </c>
      <c r="J114" s="232" t="s">
        <v>853</v>
      </c>
      <c r="K114" s="233">
        <v>37500</v>
      </c>
      <c r="L114" s="284">
        <f>IF(K114&gt;=Datos!$D$14,(Datos!$D$14*Datos!$C$14),IF(K114&lt;=Datos!$D$14,(K114*Datos!$C$14)))</f>
        <v>1076.25</v>
      </c>
      <c r="M114" s="284">
        <f>IF(K114&gt;=Datos!$D$15,(Datos!$D$15*Datos!$C$15),IF(K114&lt;=Datos!$D$15,(K114*Datos!$C$15)))</f>
        <v>1140</v>
      </c>
      <c r="N114" s="231">
        <v>1715.46</v>
      </c>
      <c r="O114" s="231">
        <f t="shared" si="11"/>
        <v>33568.29</v>
      </c>
      <c r="P114" s="223">
        <f>IF(O114&lt;=Datos!$G$7,"0",IF(O114&lt;=Datos!$G$8,(O114-Datos!$F$8)*Datos!$I$6,IF(O114&lt;=Datos!$G$9,Datos!$I$8+(O114-Datos!$F$9)*Datos!$J$6,IF(O114&gt;=Datos!$F$10,(Datos!$I$8+Datos!$J$8)+(O114-Datos!$F$10)*Datos!$K$6))))-W114</f>
        <v>0</v>
      </c>
      <c r="Q114" s="231">
        <v>7210.06</v>
      </c>
      <c r="R114" s="234"/>
      <c r="S114" s="234"/>
      <c r="T114" s="234"/>
      <c r="U114" s="234"/>
      <c r="V114" s="234">
        <v>25</v>
      </c>
      <c r="W114" s="231"/>
      <c r="X114" s="234">
        <f t="shared" si="10"/>
        <v>11166.77</v>
      </c>
      <c r="Y114" s="234">
        <f t="shared" si="9"/>
        <v>26333.23</v>
      </c>
      <c r="Z114" s="296" t="s">
        <v>148</v>
      </c>
      <c r="AA114" s="298">
        <v>44197</v>
      </c>
      <c r="AB114" s="235"/>
      <c r="AC114" s="264"/>
    </row>
    <row r="115" spans="1:29" s="236" customFormat="1" x14ac:dyDescent="0.25">
      <c r="A115" s="232"/>
      <c r="B115" s="302">
        <v>109</v>
      </c>
      <c r="C115" s="295" t="s">
        <v>389</v>
      </c>
      <c r="D115" s="297" t="s">
        <v>630</v>
      </c>
      <c r="E115" s="232" t="s">
        <v>85</v>
      </c>
      <c r="F115" s="232" t="s">
        <v>87</v>
      </c>
      <c r="G115" s="295">
        <v>1</v>
      </c>
      <c r="H115" s="296" t="s">
        <v>1835</v>
      </c>
      <c r="I115" s="297" t="s">
        <v>1061</v>
      </c>
      <c r="J115" s="232" t="s">
        <v>846</v>
      </c>
      <c r="K115" s="233">
        <v>70000</v>
      </c>
      <c r="L115" s="284">
        <f>IF(K115&gt;=Datos!$D$14,(Datos!$D$14*Datos!$C$14),IF(K115&lt;=Datos!$D$14,(K115*Datos!$C$14)))</f>
        <v>2009</v>
      </c>
      <c r="M115" s="284">
        <f>IF(K115&gt;=Datos!$D$15,(Datos!$D$15*Datos!$C$15),IF(K115&lt;=Datos!$D$15,(K115*Datos!$C$15)))</f>
        <v>2128</v>
      </c>
      <c r="N115" s="231"/>
      <c r="O115" s="231">
        <f t="shared" si="11"/>
        <v>65863</v>
      </c>
      <c r="P115" s="223">
        <f>IF(O115&lt;=Datos!$G$7,"0",IF(O115&lt;=Datos!$G$8,(O115-Datos!$F$8)*Datos!$I$6,IF(O115&lt;=Datos!$G$9,Datos!$I$8+(O115-Datos!$F$9)*Datos!$J$6,IF(O115&gt;=Datos!$F$10,(Datos!$I$8+Datos!$J$8)+(O115-Datos!$F$10)*Datos!$K$6))))-W115</f>
        <v>5368.4756666666663</v>
      </c>
      <c r="Q115" s="231">
        <f>IFERROR(VLOOKUP(C115,[1]Hoja1!$D$5:$E$58,2,FALSE),0)</f>
        <v>3800</v>
      </c>
      <c r="R115" s="234"/>
      <c r="S115" s="234"/>
      <c r="T115" s="234"/>
      <c r="U115" s="234"/>
      <c r="V115" s="234">
        <v>25</v>
      </c>
      <c r="W115" s="231"/>
      <c r="X115" s="234">
        <f t="shared" si="10"/>
        <v>13330.475666666665</v>
      </c>
      <c r="Y115" s="234">
        <f t="shared" si="9"/>
        <v>56669.524333333335</v>
      </c>
      <c r="Z115" s="296" t="s">
        <v>149</v>
      </c>
      <c r="AA115" s="298">
        <v>44197</v>
      </c>
      <c r="AB115" s="235"/>
      <c r="AC115" s="264"/>
    </row>
    <row r="116" spans="1:29" s="236" customFormat="1" x14ac:dyDescent="0.25">
      <c r="A116" s="232"/>
      <c r="B116" s="302">
        <v>110</v>
      </c>
      <c r="C116" s="295" t="s">
        <v>1137</v>
      </c>
      <c r="D116" s="232" t="s">
        <v>1138</v>
      </c>
      <c r="E116" s="232" t="s">
        <v>85</v>
      </c>
      <c r="F116" s="232" t="s">
        <v>87</v>
      </c>
      <c r="G116" s="295">
        <v>4</v>
      </c>
      <c r="H116" s="296" t="s">
        <v>1211</v>
      </c>
      <c r="I116" s="297" t="s">
        <v>1060</v>
      </c>
      <c r="J116" s="232" t="s">
        <v>1139</v>
      </c>
      <c r="K116" s="233">
        <v>65018.43</v>
      </c>
      <c r="L116" s="284">
        <f>IF(K116&gt;=Datos!$D$14,(Datos!$D$14*Datos!$C$14),IF(K116&lt;=Datos!$D$14,(K116*Datos!$C$14)))</f>
        <v>1866.028941</v>
      </c>
      <c r="M116" s="284">
        <f>IF(K116&gt;=Datos!$D$15,(Datos!$D$15*Datos!$C$15),IF(K116&lt;=Datos!$D$15,(K116*Datos!$C$15)))</f>
        <v>1976.5602719999999</v>
      </c>
      <c r="N116" s="231"/>
      <c r="O116" s="231">
        <f t="shared" si="11"/>
        <v>61175.840787000001</v>
      </c>
      <c r="P116" s="223">
        <f>IF(O116&lt;=Datos!$G$7,"0",IF(O116&lt;=Datos!$G$8,(O116-Datos!$F$8)*Datos!$I$6,IF(O116&lt;=Datos!$G$9,Datos!$I$8+(O116-Datos!$F$9)*Datos!$J$6,IF(O116&gt;=Datos!$F$10,(Datos!$I$8+Datos!$J$8)+(O116-Datos!$F$10)*Datos!$K$6))))-W116</f>
        <v>4431.0438240666663</v>
      </c>
      <c r="Q116" s="231">
        <f>IFERROR(VLOOKUP(C116,[1]Hoja1!$D$5:$E$58,2,FALSE),0)</f>
        <v>0</v>
      </c>
      <c r="R116" s="234"/>
      <c r="S116" s="234"/>
      <c r="T116" s="234"/>
      <c r="U116" s="234"/>
      <c r="V116" s="234">
        <v>25</v>
      </c>
      <c r="W116" s="231"/>
      <c r="X116" s="234">
        <f t="shared" si="10"/>
        <v>8298.6330370666656</v>
      </c>
      <c r="Y116" s="234">
        <f t="shared" si="9"/>
        <v>56719.796962933338</v>
      </c>
      <c r="Z116" s="296"/>
      <c r="AA116" s="298">
        <v>44866</v>
      </c>
      <c r="AB116" s="235"/>
      <c r="AC116" s="264"/>
    </row>
    <row r="117" spans="1:29" s="236" customFormat="1" x14ac:dyDescent="0.25">
      <c r="A117" s="232"/>
      <c r="B117" s="302">
        <v>111</v>
      </c>
      <c r="C117" s="295" t="s">
        <v>1783</v>
      </c>
      <c r="D117" s="232" t="s">
        <v>1784</v>
      </c>
      <c r="E117" s="232" t="s">
        <v>86</v>
      </c>
      <c r="F117" s="232" t="s">
        <v>87</v>
      </c>
      <c r="G117" s="295">
        <v>1</v>
      </c>
      <c r="H117" s="296" t="s">
        <v>1828</v>
      </c>
      <c r="I117" s="297" t="s">
        <v>1060</v>
      </c>
      <c r="J117" s="232" t="s">
        <v>844</v>
      </c>
      <c r="K117" s="233">
        <v>22500</v>
      </c>
      <c r="L117" s="284">
        <f>IF(K117&gt;=Datos!$D$14,(Datos!$D$14*Datos!$C$14),IF(K117&lt;=Datos!$D$14,(K117*Datos!$C$14)))</f>
        <v>645.75</v>
      </c>
      <c r="M117" s="284">
        <f>IF(K117&gt;=Datos!$D$15,(Datos!$D$15*Datos!$C$15),IF(K117&lt;=Datos!$D$15,(K117*Datos!$C$15)))</f>
        <v>684</v>
      </c>
      <c r="N117" s="231"/>
      <c r="O117" s="231">
        <f t="shared" si="11"/>
        <v>21170.25</v>
      </c>
      <c r="P117" s="223">
        <f>IF(O117&lt;=Datos!$G$7,"0",IF(O117&lt;=Datos!$G$8,(O117-Datos!$F$8)*Datos!$I$6,IF(O117&lt;=Datos!$G$9,Datos!$I$8+(O117-Datos!$F$9)*Datos!$J$6,IF(O117&gt;=Datos!$F$10,(Datos!$I$8+Datos!$J$8)+(O117-Datos!$F$10)*Datos!$K$6))))-W117</f>
        <v>0</v>
      </c>
      <c r="Q117" s="231">
        <f>IFERROR(VLOOKUP(C117,[1]Hoja1!$D$5:$E$58,2,FALSE),0)</f>
        <v>0</v>
      </c>
      <c r="R117" s="234"/>
      <c r="S117" s="234"/>
      <c r="T117" s="234"/>
      <c r="U117" s="234"/>
      <c r="V117" s="234">
        <v>25</v>
      </c>
      <c r="W117" s="231"/>
      <c r="X117" s="234">
        <f t="shared" si="10"/>
        <v>1354.75</v>
      </c>
      <c r="Y117" s="234">
        <f t="shared" si="9"/>
        <v>21145.25</v>
      </c>
      <c r="Z117" s="296">
        <v>9607660888</v>
      </c>
      <c r="AA117" s="298">
        <v>45597</v>
      </c>
      <c r="AB117" s="235"/>
      <c r="AC117" s="264"/>
    </row>
    <row r="118" spans="1:29" s="236" customFormat="1" x14ac:dyDescent="0.25">
      <c r="A118" s="232"/>
      <c r="B118" s="302">
        <v>112</v>
      </c>
      <c r="C118" s="295" t="s">
        <v>1181</v>
      </c>
      <c r="D118" s="232" t="s">
        <v>1182</v>
      </c>
      <c r="E118" s="232" t="s">
        <v>85</v>
      </c>
      <c r="F118" s="232" t="s">
        <v>87</v>
      </c>
      <c r="G118" s="295">
        <v>1</v>
      </c>
      <c r="H118" s="296" t="s">
        <v>1548</v>
      </c>
      <c r="I118" s="297" t="s">
        <v>1062</v>
      </c>
      <c r="J118" s="232" t="s">
        <v>833</v>
      </c>
      <c r="K118" s="233">
        <f>15000+3000</f>
        <v>18000</v>
      </c>
      <c r="L118" s="284">
        <f>IF(K118&gt;=Datos!$D$14,(Datos!$D$14*Datos!$C$14),IF(K118&lt;=Datos!$D$14,(K118*Datos!$C$14)))</f>
        <v>516.6</v>
      </c>
      <c r="M118" s="284">
        <f>IF(K118&gt;=Datos!$D$15,(Datos!$D$15*Datos!$C$15),IF(K118&lt;=Datos!$D$15,(K118*Datos!$C$15)))</f>
        <v>547.20000000000005</v>
      </c>
      <c r="N118" s="231"/>
      <c r="O118" s="231">
        <f t="shared" si="11"/>
        <v>16936.2</v>
      </c>
      <c r="P118" s="223">
        <f>IF(O118&lt;=Datos!$G$7,"0",IF(O118&lt;=Datos!$G$8,(O118-Datos!$F$8)*Datos!$I$6,IF(O118&lt;=Datos!$G$9,Datos!$I$8+(O118-Datos!$F$9)*Datos!$J$6,IF(O118&gt;=Datos!$F$10,(Datos!$I$8+Datos!$J$8)+(O118-Datos!$F$10)*Datos!$K$6))))-W118</f>
        <v>0</v>
      </c>
      <c r="Q118" s="231">
        <f>IFERROR(VLOOKUP(C118,[1]Hoja1!$D$5:$E$58,2,FALSE),0)</f>
        <v>0</v>
      </c>
      <c r="R118" s="234"/>
      <c r="S118" s="234"/>
      <c r="T118" s="234"/>
      <c r="U118" s="234"/>
      <c r="V118" s="234">
        <v>25</v>
      </c>
      <c r="W118" s="231"/>
      <c r="X118" s="234">
        <f t="shared" si="10"/>
        <v>1088.8000000000002</v>
      </c>
      <c r="Y118" s="234">
        <f t="shared" si="9"/>
        <v>16911.2</v>
      </c>
      <c r="Z118" s="296"/>
      <c r="AA118" s="298">
        <v>44927</v>
      </c>
      <c r="AB118" s="235"/>
      <c r="AC118" s="264"/>
    </row>
    <row r="119" spans="1:29" s="236" customFormat="1" x14ac:dyDescent="0.25">
      <c r="A119" s="232"/>
      <c r="B119" s="302">
        <v>113</v>
      </c>
      <c r="C119" s="295" t="s">
        <v>390</v>
      </c>
      <c r="D119" s="232" t="s">
        <v>631</v>
      </c>
      <c r="E119" s="232" t="s">
        <v>85</v>
      </c>
      <c r="F119" s="232" t="s">
        <v>87</v>
      </c>
      <c r="G119" s="295">
        <v>1</v>
      </c>
      <c r="H119" s="296" t="s">
        <v>1548</v>
      </c>
      <c r="I119" s="297" t="s">
        <v>1062</v>
      </c>
      <c r="J119" s="232" t="s">
        <v>833</v>
      </c>
      <c r="K119" s="233">
        <f>13860+4140</f>
        <v>18000</v>
      </c>
      <c r="L119" s="284">
        <f>IF(K119&gt;=Datos!$D$14,(Datos!$D$14*Datos!$C$14),IF(K119&lt;=Datos!$D$14,(K119*Datos!$C$14)))</f>
        <v>516.6</v>
      </c>
      <c r="M119" s="284">
        <f>IF(K119&gt;=Datos!$D$15,(Datos!$D$15*Datos!$C$15),IF(K119&lt;=Datos!$D$15,(K119*Datos!$C$15)))</f>
        <v>547.20000000000005</v>
      </c>
      <c r="N119" s="231"/>
      <c r="O119" s="231">
        <f t="shared" si="11"/>
        <v>16936.2</v>
      </c>
      <c r="P119" s="223">
        <f>IF(O119&lt;=Datos!$G$7,"0",IF(O119&lt;=Datos!$G$8,(O119-Datos!$F$8)*Datos!$I$6,IF(O119&lt;=Datos!$G$9,Datos!$I$8+(O119-Datos!$F$9)*Datos!$J$6,IF(O119&gt;=Datos!$F$10,(Datos!$I$8+Datos!$J$8)+(O119-Datos!$F$10)*Datos!$K$6))))-W119</f>
        <v>0</v>
      </c>
      <c r="Q119" s="231">
        <f>IFERROR(VLOOKUP(C119,[1]Hoja1!$D$5:$E$58,2,FALSE),0)</f>
        <v>0</v>
      </c>
      <c r="R119" s="234"/>
      <c r="S119" s="234"/>
      <c r="T119" s="234"/>
      <c r="U119" s="234"/>
      <c r="V119" s="234">
        <v>25</v>
      </c>
      <c r="W119" s="231"/>
      <c r="X119" s="234">
        <f t="shared" si="10"/>
        <v>1088.8000000000002</v>
      </c>
      <c r="Y119" s="234">
        <f t="shared" si="9"/>
        <v>16911.2</v>
      </c>
      <c r="Z119" s="296" t="s">
        <v>150</v>
      </c>
      <c r="AA119" s="298">
        <v>44197</v>
      </c>
      <c r="AB119" s="235"/>
      <c r="AC119" s="264"/>
    </row>
    <row r="120" spans="1:29" s="236" customFormat="1" x14ac:dyDescent="0.25">
      <c r="A120" s="232"/>
      <c r="B120" s="302">
        <v>114</v>
      </c>
      <c r="C120" s="295" t="s">
        <v>391</v>
      </c>
      <c r="D120" s="232" t="s">
        <v>632</v>
      </c>
      <c r="E120" s="232" t="s">
        <v>85</v>
      </c>
      <c r="F120" s="232" t="s">
        <v>87</v>
      </c>
      <c r="G120" s="295">
        <v>5</v>
      </c>
      <c r="H120" s="296" t="s">
        <v>1210</v>
      </c>
      <c r="I120" s="297" t="s">
        <v>1062</v>
      </c>
      <c r="J120" s="232" t="s">
        <v>837</v>
      </c>
      <c r="K120" s="233">
        <f>45000+20000</f>
        <v>65000</v>
      </c>
      <c r="L120" s="284">
        <f>IF(K120&gt;=Datos!$D$14,(Datos!$D$14*Datos!$C$14),IF(K120&lt;=Datos!$D$14,(K120*Datos!$C$14)))</f>
        <v>1865.5</v>
      </c>
      <c r="M120" s="284">
        <f>IF(K120&gt;=Datos!$D$15,(Datos!$D$15*Datos!$C$15),IF(K120&lt;=Datos!$D$15,(K120*Datos!$C$15)))</f>
        <v>1976</v>
      </c>
      <c r="N120" s="231"/>
      <c r="O120" s="231">
        <f t="shared" si="11"/>
        <v>61158.5</v>
      </c>
      <c r="P120" s="223">
        <f>IF(O120&lt;=Datos!$G$7,"0",IF(O120&lt;=Datos!$G$8,(O120-Datos!$F$8)*Datos!$I$6,IF(O120&lt;=Datos!$G$9,Datos!$I$8+(O120-Datos!$F$9)*Datos!$J$6,IF(O120&gt;=Datos!$F$10,(Datos!$I$8+Datos!$J$8)+(O120-Datos!$F$10)*Datos!$K$6))))-W120</f>
        <v>4427.5756666666657</v>
      </c>
      <c r="Q120" s="231">
        <f>IFERROR(VLOOKUP(C120,[1]Hoja1!$D$5:$E$58,2,FALSE),0)</f>
        <v>0</v>
      </c>
      <c r="R120" s="234"/>
      <c r="S120" s="234"/>
      <c r="T120" s="234"/>
      <c r="U120" s="234"/>
      <c r="V120" s="234">
        <v>25</v>
      </c>
      <c r="W120" s="231"/>
      <c r="X120" s="234">
        <f t="shared" si="10"/>
        <v>8294.0756666666657</v>
      </c>
      <c r="Y120" s="234">
        <f t="shared" si="9"/>
        <v>56705.924333333336</v>
      </c>
      <c r="Z120" s="296" t="s">
        <v>151</v>
      </c>
      <c r="AA120" s="298">
        <v>44197</v>
      </c>
      <c r="AB120" s="235"/>
      <c r="AC120" s="264"/>
    </row>
    <row r="121" spans="1:29" s="236" customFormat="1" x14ac:dyDescent="0.25">
      <c r="A121" s="232"/>
      <c r="B121" s="302">
        <v>115</v>
      </c>
      <c r="C121" s="295" t="s">
        <v>975</v>
      </c>
      <c r="D121" s="232" t="s">
        <v>976</v>
      </c>
      <c r="E121" s="232" t="s">
        <v>85</v>
      </c>
      <c r="F121" s="232" t="s">
        <v>87</v>
      </c>
      <c r="G121" s="295">
        <v>1</v>
      </c>
      <c r="H121" s="296" t="s">
        <v>1209</v>
      </c>
      <c r="I121" s="297" t="s">
        <v>1062</v>
      </c>
      <c r="J121" s="232" t="s">
        <v>977</v>
      </c>
      <c r="K121" s="233">
        <f>45000+15000</f>
        <v>60000</v>
      </c>
      <c r="L121" s="284">
        <f>IF(K121&gt;=Datos!$D$14,(Datos!$D$14*Datos!$C$14),IF(K121&lt;=Datos!$D$14,(K121*Datos!$C$14)))</f>
        <v>1722</v>
      </c>
      <c r="M121" s="284">
        <f>IF(K121&gt;=Datos!$D$15,(Datos!$D$15*Datos!$C$15),IF(K121&lt;=Datos!$D$15,(K121*Datos!$C$15)))</f>
        <v>1824</v>
      </c>
      <c r="N121" s="231"/>
      <c r="O121" s="231">
        <f t="shared" si="11"/>
        <v>56454</v>
      </c>
      <c r="P121" s="223">
        <f>IF(O121&lt;=Datos!$G$7,"0",IF(O121&lt;=Datos!$G$8,(O121-Datos!$F$8)*Datos!$I$6,IF(O121&lt;=Datos!$G$9,Datos!$I$8+(O121-Datos!$F$9)*Datos!$J$6,IF(O121&gt;=Datos!$F$10,(Datos!$I$8+Datos!$J$8)+(O121-Datos!$F$10)*Datos!$K$6))))-W121</f>
        <v>3486.6756666666661</v>
      </c>
      <c r="Q121" s="231">
        <f>IFERROR(VLOOKUP(C121,[1]Hoja1!$D$5:$E$58,2,FALSE),0)</f>
        <v>0</v>
      </c>
      <c r="R121" s="234"/>
      <c r="S121" s="234"/>
      <c r="T121" s="234"/>
      <c r="U121" s="234"/>
      <c r="V121" s="234">
        <v>25</v>
      </c>
      <c r="W121" s="231"/>
      <c r="X121" s="234">
        <f t="shared" si="10"/>
        <v>7057.6756666666661</v>
      </c>
      <c r="Y121" s="234">
        <f t="shared" si="9"/>
        <v>52942.324333333338</v>
      </c>
      <c r="Z121" s="296"/>
      <c r="AA121" s="298">
        <v>44713</v>
      </c>
      <c r="AB121" s="235"/>
      <c r="AC121" s="264"/>
    </row>
    <row r="122" spans="1:29" s="236" customFormat="1" x14ac:dyDescent="0.25">
      <c r="A122" s="232"/>
      <c r="B122" s="302">
        <v>116</v>
      </c>
      <c r="C122" s="295" t="s">
        <v>1068</v>
      </c>
      <c r="D122" s="232" t="s">
        <v>1069</v>
      </c>
      <c r="E122" s="232" t="s">
        <v>85</v>
      </c>
      <c r="F122" s="232" t="s">
        <v>87</v>
      </c>
      <c r="G122" s="295">
        <v>5</v>
      </c>
      <c r="H122" s="296" t="s">
        <v>1210</v>
      </c>
      <c r="I122" s="297" t="s">
        <v>1067</v>
      </c>
      <c r="J122" s="232" t="s">
        <v>1070</v>
      </c>
      <c r="K122" s="233">
        <v>35000</v>
      </c>
      <c r="L122" s="284">
        <f>IF(K122&gt;=Datos!$D$14,(Datos!$D$14*Datos!$C$14),IF(K122&lt;=Datos!$D$14,(K122*Datos!$C$14)))</f>
        <v>1004.5</v>
      </c>
      <c r="M122" s="284">
        <f>IF(K122&gt;=Datos!$D$15,(Datos!$D$15*Datos!$C$15),IF(K122&lt;=Datos!$D$15,(K122*Datos!$C$15)))</f>
        <v>1064</v>
      </c>
      <c r="N122" s="231"/>
      <c r="O122" s="231">
        <f t="shared" si="11"/>
        <v>32931.5</v>
      </c>
      <c r="P122" s="223">
        <f>IF(O122&lt;=Datos!$G$7,"0",IF(O122&lt;=Datos!$G$8,(O122-Datos!$F$8)*Datos!$I$6,IF(O122&lt;=Datos!$G$9,Datos!$I$8+(O122-Datos!$F$9)*Datos!$J$6,IF(O122&gt;=Datos!$F$10,(Datos!$I$8+Datos!$J$8)+(O122-Datos!$F$10)*Datos!$K$6))))-W122</f>
        <v>0</v>
      </c>
      <c r="Q122" s="231">
        <f>IFERROR(VLOOKUP(C122,[1]Hoja1!$D$5:$E$58,2,FALSE),0)</f>
        <v>0</v>
      </c>
      <c r="R122" s="234"/>
      <c r="S122" s="234"/>
      <c r="T122" s="234"/>
      <c r="U122" s="234"/>
      <c r="V122" s="234">
        <v>25</v>
      </c>
      <c r="W122" s="231"/>
      <c r="X122" s="234">
        <f t="shared" si="10"/>
        <v>2093.5</v>
      </c>
      <c r="Y122" s="234">
        <f t="shared" si="9"/>
        <v>32906.5</v>
      </c>
      <c r="Z122" s="296"/>
      <c r="AA122" s="298">
        <v>44835</v>
      </c>
      <c r="AB122" s="235"/>
      <c r="AC122" s="264"/>
    </row>
    <row r="123" spans="1:29" s="236" customFormat="1" x14ac:dyDescent="0.25">
      <c r="A123" s="232"/>
      <c r="B123" s="302">
        <v>117</v>
      </c>
      <c r="C123" s="295" t="s">
        <v>392</v>
      </c>
      <c r="D123" s="232" t="s">
        <v>633</v>
      </c>
      <c r="E123" s="232" t="s">
        <v>85</v>
      </c>
      <c r="F123" s="232" t="s">
        <v>87</v>
      </c>
      <c r="G123" s="295">
        <v>1</v>
      </c>
      <c r="H123" s="296" t="s">
        <v>1829</v>
      </c>
      <c r="I123" s="297" t="s">
        <v>1067</v>
      </c>
      <c r="J123" s="232" t="s">
        <v>841</v>
      </c>
      <c r="K123" s="233">
        <v>40000</v>
      </c>
      <c r="L123" s="284">
        <f>IF(K123&gt;=Datos!$D$14,(Datos!$D$14*Datos!$C$14),IF(K123&lt;=Datos!$D$14,(K123*Datos!$C$14)))</f>
        <v>1148</v>
      </c>
      <c r="M123" s="284">
        <f>IF(K123&gt;=Datos!$D$15,(Datos!$D$15*Datos!$C$15),IF(K123&lt;=Datos!$D$15,(K123*Datos!$C$15)))</f>
        <v>1216</v>
      </c>
      <c r="N123" s="231">
        <v>1715.46</v>
      </c>
      <c r="O123" s="231">
        <f t="shared" si="11"/>
        <v>35920.54</v>
      </c>
      <c r="P123" s="223">
        <f>IF(O123&lt;=Datos!$G$7,"0",IF(O123&lt;=Datos!$G$8,(O123-Datos!$F$8)*Datos!$I$6,IF(O123&lt;=Datos!$G$9,Datos!$I$8+(O123-Datos!$F$9)*Datos!$J$6,IF(O123&gt;=Datos!$F$10,(Datos!$I$8+Datos!$J$8)+(O123-Datos!$F$10)*Datos!$K$6))))-W123</f>
        <v>185.32949999999983</v>
      </c>
      <c r="Q123" s="231">
        <v>2037.81</v>
      </c>
      <c r="R123" s="234"/>
      <c r="S123" s="234"/>
      <c r="T123" s="234"/>
      <c r="U123" s="234"/>
      <c r="V123" s="234">
        <v>25</v>
      </c>
      <c r="W123" s="231"/>
      <c r="X123" s="234">
        <f t="shared" si="10"/>
        <v>6327.5995000000003</v>
      </c>
      <c r="Y123" s="234">
        <f t="shared" si="9"/>
        <v>33672.400500000003</v>
      </c>
      <c r="Z123" s="296" t="s">
        <v>152</v>
      </c>
      <c r="AA123" s="298">
        <v>44197</v>
      </c>
      <c r="AB123" s="235"/>
      <c r="AC123" s="264"/>
    </row>
    <row r="124" spans="1:29" s="236" customFormat="1" x14ac:dyDescent="0.25">
      <c r="A124" s="232"/>
      <c r="B124" s="302">
        <v>118</v>
      </c>
      <c r="C124" s="295" t="s">
        <v>394</v>
      </c>
      <c r="D124" s="232" t="s">
        <v>635</v>
      </c>
      <c r="E124" s="232" t="s">
        <v>85</v>
      </c>
      <c r="F124" s="232" t="s">
        <v>87</v>
      </c>
      <c r="G124" s="295">
        <v>5</v>
      </c>
      <c r="H124" s="296" t="s">
        <v>1662</v>
      </c>
      <c r="I124" s="297" t="s">
        <v>1062</v>
      </c>
      <c r="J124" s="232" t="s">
        <v>1272</v>
      </c>
      <c r="K124" s="233">
        <f>25000+10000+25000</f>
        <v>60000</v>
      </c>
      <c r="L124" s="284">
        <f>IF(K124&gt;=Datos!$D$14,(Datos!$D$14*Datos!$C$14),IF(K124&lt;=Datos!$D$14,(K124*Datos!$C$14)))</f>
        <v>1722</v>
      </c>
      <c r="M124" s="284">
        <f>IF(K124&gt;=Datos!$D$15,(Datos!$D$15*Datos!$C$15),IF(K124&lt;=Datos!$D$15,(K124*Datos!$C$15)))</f>
        <v>1824</v>
      </c>
      <c r="N124" s="231"/>
      <c r="O124" s="231">
        <f t="shared" si="11"/>
        <v>56454</v>
      </c>
      <c r="P124" s="223">
        <f>IF(O124&lt;=Datos!$G$7,"0",IF(O124&lt;=Datos!$G$8,(O124-Datos!$F$8)*Datos!$I$6,IF(O124&lt;=Datos!$G$9,Datos!$I$8+(O124-Datos!$F$9)*Datos!$J$6,IF(O124&gt;=Datos!$F$10,(Datos!$I$8+Datos!$J$8)+(O124-Datos!$F$10)*Datos!$K$6))))-W124</f>
        <v>3486.6756666666661</v>
      </c>
      <c r="Q124" s="231">
        <f>IFERROR(VLOOKUP(C124,[1]Hoja1!$D$5:$E$58,2,FALSE),0)</f>
        <v>0</v>
      </c>
      <c r="R124" s="234"/>
      <c r="S124" s="234"/>
      <c r="T124" s="234"/>
      <c r="U124" s="234"/>
      <c r="V124" s="234">
        <v>25</v>
      </c>
      <c r="W124" s="231"/>
      <c r="X124" s="234">
        <f t="shared" si="10"/>
        <v>7057.6756666666661</v>
      </c>
      <c r="Y124" s="234">
        <f t="shared" si="9"/>
        <v>52942.324333333338</v>
      </c>
      <c r="Z124" s="296" t="s">
        <v>154</v>
      </c>
      <c r="AA124" s="298">
        <v>44197</v>
      </c>
      <c r="AB124" s="235"/>
      <c r="AC124" s="264"/>
    </row>
    <row r="125" spans="1:29" s="236" customFormat="1" x14ac:dyDescent="0.25">
      <c r="A125" s="232"/>
      <c r="B125" s="302">
        <v>119</v>
      </c>
      <c r="C125" s="295" t="s">
        <v>395</v>
      </c>
      <c r="D125" s="232" t="s">
        <v>636</v>
      </c>
      <c r="E125" s="232" t="s">
        <v>85</v>
      </c>
      <c r="F125" s="232" t="s">
        <v>87</v>
      </c>
      <c r="G125" s="295">
        <v>1</v>
      </c>
      <c r="H125" s="296" t="s">
        <v>1548</v>
      </c>
      <c r="I125" s="297" t="s">
        <v>1062</v>
      </c>
      <c r="J125" s="232" t="s">
        <v>833</v>
      </c>
      <c r="K125" s="233">
        <f>12000+6000</f>
        <v>18000</v>
      </c>
      <c r="L125" s="284">
        <f>IF(K125&gt;=Datos!$D$14,(Datos!$D$14*Datos!$C$14),IF(K125&lt;=Datos!$D$14,(K125*Datos!$C$14)))</f>
        <v>516.6</v>
      </c>
      <c r="M125" s="284">
        <f>IF(K125&gt;=Datos!$D$15,(Datos!$D$15*Datos!$C$15),IF(K125&lt;=Datos!$D$15,(K125*Datos!$C$15)))</f>
        <v>547.20000000000005</v>
      </c>
      <c r="N125" s="231"/>
      <c r="O125" s="231">
        <f t="shared" si="11"/>
        <v>16936.2</v>
      </c>
      <c r="P125" s="223">
        <f>IF(O125&lt;=Datos!$G$7,"0",IF(O125&lt;=Datos!$G$8,(O125-Datos!$F$8)*Datos!$I$6,IF(O125&lt;=Datos!$G$9,Datos!$I$8+(O125-Datos!$F$9)*Datos!$J$6,IF(O125&gt;=Datos!$F$10,(Datos!$I$8+Datos!$J$8)+(O125-Datos!$F$10)*Datos!$K$6))))-W125</f>
        <v>0</v>
      </c>
      <c r="Q125" s="231">
        <f>IFERROR(VLOOKUP(C125,[1]Hoja1!$D$5:$E$58,2,FALSE),0)</f>
        <v>0</v>
      </c>
      <c r="R125" s="234"/>
      <c r="S125" s="234"/>
      <c r="T125" s="234"/>
      <c r="U125" s="234"/>
      <c r="V125" s="234">
        <v>25</v>
      </c>
      <c r="W125" s="231"/>
      <c r="X125" s="234">
        <f t="shared" si="10"/>
        <v>1088.8000000000002</v>
      </c>
      <c r="Y125" s="234">
        <f t="shared" si="9"/>
        <v>16911.2</v>
      </c>
      <c r="Z125" s="296" t="s">
        <v>155</v>
      </c>
      <c r="AA125" s="298">
        <v>44517</v>
      </c>
      <c r="AB125" s="235"/>
      <c r="AC125" s="264"/>
    </row>
    <row r="126" spans="1:29" s="236" customFormat="1" x14ac:dyDescent="0.25">
      <c r="A126" s="232"/>
      <c r="B126" s="302">
        <v>120</v>
      </c>
      <c r="C126" s="295" t="s">
        <v>393</v>
      </c>
      <c r="D126" s="232" t="s">
        <v>634</v>
      </c>
      <c r="E126" s="232" t="s">
        <v>85</v>
      </c>
      <c r="F126" s="232" t="s">
        <v>87</v>
      </c>
      <c r="G126" s="295">
        <v>5</v>
      </c>
      <c r="H126" s="296" t="s">
        <v>1210</v>
      </c>
      <c r="I126" s="297" t="s">
        <v>1061</v>
      </c>
      <c r="J126" s="232" t="s">
        <v>837</v>
      </c>
      <c r="K126" s="233">
        <f>57200+2800</f>
        <v>60000</v>
      </c>
      <c r="L126" s="284">
        <f>IF(K126&gt;=Datos!$D$14,(Datos!$D$14*Datos!$C$14),IF(K126&lt;=Datos!$D$14,(K126*Datos!$C$14)))</f>
        <v>1722</v>
      </c>
      <c r="M126" s="284">
        <f>IF(K126&gt;=Datos!$D$15,(Datos!$D$15*Datos!$C$15),IF(K126&lt;=Datos!$D$15,(K126*Datos!$C$15)))</f>
        <v>1824</v>
      </c>
      <c r="N126" s="231">
        <v>1715.46</v>
      </c>
      <c r="O126" s="231">
        <f>K126-(L126+M126+N126)</f>
        <v>54738.54</v>
      </c>
      <c r="P126" s="223">
        <f>IF(O126&lt;=Datos!$G$7,"0",IF(O126&lt;=Datos!$G$8,(O126-Datos!$F$8)*Datos!$I$6,IF(O126&lt;=Datos!$G$9,Datos!$I$8+(O126-Datos!$F$9)*Datos!$J$6,IF(O126&gt;=Datos!$F$10,(Datos!$I$8+Datos!$J$8)+(O126-Datos!$F$10)*Datos!$K$6))))-W126</f>
        <v>3143.5836666666664</v>
      </c>
      <c r="Q126" s="231">
        <f>IFERROR(VLOOKUP(C126,[1]Hoja1!$D$5:$E$58,2,FALSE),0)</f>
        <v>0</v>
      </c>
      <c r="R126" s="234"/>
      <c r="S126" s="234"/>
      <c r="T126" s="234"/>
      <c r="U126" s="234"/>
      <c r="V126" s="234">
        <v>25</v>
      </c>
      <c r="W126" s="231"/>
      <c r="X126" s="234">
        <f t="shared" si="10"/>
        <v>8430.0436666666665</v>
      </c>
      <c r="Y126" s="234">
        <f t="shared" si="9"/>
        <v>51569.956333333335</v>
      </c>
      <c r="Z126" s="296" t="s">
        <v>153</v>
      </c>
      <c r="AA126" s="298">
        <v>44197</v>
      </c>
      <c r="AB126" s="235"/>
      <c r="AC126" s="264"/>
    </row>
    <row r="127" spans="1:29" s="236" customFormat="1" x14ac:dyDescent="0.25">
      <c r="A127" s="232"/>
      <c r="B127" s="302">
        <v>121</v>
      </c>
      <c r="C127" s="295" t="s">
        <v>1488</v>
      </c>
      <c r="D127" s="232" t="s">
        <v>1489</v>
      </c>
      <c r="E127" s="232" t="s">
        <v>86</v>
      </c>
      <c r="F127" s="232" t="s">
        <v>87</v>
      </c>
      <c r="G127" s="295">
        <v>1</v>
      </c>
      <c r="H127" s="296" t="s">
        <v>1827</v>
      </c>
      <c r="I127" s="297" t="s">
        <v>1060</v>
      </c>
      <c r="J127" s="232" t="s">
        <v>841</v>
      </c>
      <c r="K127" s="233">
        <v>26000</v>
      </c>
      <c r="L127" s="284">
        <f>IF(K127&gt;=Datos!$D$14,(Datos!$D$14*Datos!$C$14),IF(K127&lt;=Datos!$D$14,(K127*Datos!$C$14)))</f>
        <v>746.2</v>
      </c>
      <c r="M127" s="284">
        <f>IF(K127&gt;=Datos!$D$15,(Datos!$D$15*Datos!$C$15),IF(K127&lt;=Datos!$D$15,(K127*Datos!$C$15)))</f>
        <v>790.4</v>
      </c>
      <c r="N127" s="231"/>
      <c r="O127" s="231">
        <f>K127-(L127+M127+N127)</f>
        <v>24463.4</v>
      </c>
      <c r="P127" s="223">
        <f>IF(O127&lt;=Datos!$G$7,"0",IF(O127&lt;=Datos!$G$8,(O127-Datos!$F$8)*Datos!$I$6,IF(O127&lt;=Datos!$G$9,Datos!$I$8+(O127-Datos!$F$9)*Datos!$J$6,IF(O127&gt;=Datos!$F$10,(Datos!$I$8+Datos!$J$8)+(O127-Datos!$F$10)*Datos!$K$6))))-W127</f>
        <v>0</v>
      </c>
      <c r="Q127" s="231">
        <f>IFERROR(VLOOKUP(C127,[1]Hoja1!$D$5:$E$58,2,FALSE),0)</f>
        <v>0</v>
      </c>
      <c r="R127" s="234"/>
      <c r="S127" s="234"/>
      <c r="T127" s="234"/>
      <c r="U127" s="234"/>
      <c r="V127" s="234">
        <v>25</v>
      </c>
      <c r="W127" s="231"/>
      <c r="X127" s="234">
        <f t="shared" si="10"/>
        <v>1561.6</v>
      </c>
      <c r="Y127" s="234">
        <f t="shared" si="9"/>
        <v>24438.400000000001</v>
      </c>
      <c r="Z127" s="296">
        <v>9606708607</v>
      </c>
      <c r="AA127" s="298">
        <v>45352</v>
      </c>
      <c r="AB127" s="235"/>
      <c r="AC127" s="264"/>
    </row>
    <row r="128" spans="1:29" s="236" customFormat="1" x14ac:dyDescent="0.25">
      <c r="A128" s="232"/>
      <c r="B128" s="302">
        <v>122</v>
      </c>
      <c r="C128" s="295" t="s">
        <v>396</v>
      </c>
      <c r="D128" s="232" t="s">
        <v>637</v>
      </c>
      <c r="E128" s="232" t="s">
        <v>85</v>
      </c>
      <c r="F128" s="232" t="s">
        <v>87</v>
      </c>
      <c r="G128" s="295">
        <v>4</v>
      </c>
      <c r="H128" s="296" t="s">
        <v>1211</v>
      </c>
      <c r="I128" s="297" t="s">
        <v>1060</v>
      </c>
      <c r="J128" s="232" t="s">
        <v>850</v>
      </c>
      <c r="K128" s="233">
        <f>29400+5600</f>
        <v>35000</v>
      </c>
      <c r="L128" s="284">
        <f>IF(K128&gt;=Datos!$D$14,(Datos!$D$14*Datos!$C$14),IF(K128&lt;=Datos!$D$14,(K128*Datos!$C$14)))</f>
        <v>1004.5</v>
      </c>
      <c r="M128" s="284">
        <f>IF(K128&gt;=Datos!$D$15,(Datos!$D$15*Datos!$C$15),IF(K128&lt;=Datos!$D$15,(K128*Datos!$C$15)))</f>
        <v>1064</v>
      </c>
      <c r="N128" s="231"/>
      <c r="O128" s="231">
        <f t="shared" si="11"/>
        <v>32931.5</v>
      </c>
      <c r="P128" s="223">
        <f>IF(O128&lt;=Datos!$G$7,"0",IF(O128&lt;=Datos!$G$8,(O128-Datos!$F$8)*Datos!$I$6,IF(O128&lt;=Datos!$G$9,Datos!$I$8+(O128-Datos!$F$9)*Datos!$J$6,IF(O128&gt;=Datos!$F$10,(Datos!$I$8+Datos!$J$8)+(O128-Datos!$F$10)*Datos!$K$6))))-W128</f>
        <v>0</v>
      </c>
      <c r="Q128" s="231">
        <f>IFERROR(VLOOKUP(C128,[1]Hoja1!$D$5:$E$58,2,FALSE),0)</f>
        <v>0</v>
      </c>
      <c r="R128" s="234"/>
      <c r="S128" s="234"/>
      <c r="T128" s="234"/>
      <c r="U128" s="234"/>
      <c r="V128" s="234">
        <v>25</v>
      </c>
      <c r="W128" s="231"/>
      <c r="X128" s="234">
        <f t="shared" si="10"/>
        <v>2093.5</v>
      </c>
      <c r="Y128" s="234">
        <f t="shared" si="9"/>
        <v>32906.5</v>
      </c>
      <c r="Z128" s="296" t="s">
        <v>156</v>
      </c>
      <c r="AA128" s="298">
        <v>44197</v>
      </c>
      <c r="AB128" s="235"/>
      <c r="AC128" s="264"/>
    </row>
    <row r="129" spans="1:29" s="236" customFormat="1" x14ac:dyDescent="0.25">
      <c r="A129" s="232"/>
      <c r="B129" s="302">
        <v>123</v>
      </c>
      <c r="C129" s="295" t="s">
        <v>397</v>
      </c>
      <c r="D129" s="232" t="s">
        <v>638</v>
      </c>
      <c r="E129" s="232" t="s">
        <v>85</v>
      </c>
      <c r="F129" s="232" t="s">
        <v>87</v>
      </c>
      <c r="G129" s="295">
        <v>5</v>
      </c>
      <c r="H129" s="296" t="s">
        <v>1210</v>
      </c>
      <c r="I129" s="297" t="s">
        <v>1060</v>
      </c>
      <c r="J129" s="232" t="s">
        <v>850</v>
      </c>
      <c r="K129" s="233">
        <f>29400+5600</f>
        <v>35000</v>
      </c>
      <c r="L129" s="284">
        <f>IF(K129&gt;=Datos!$D$14,(Datos!$D$14*Datos!$C$14),IF(K129&lt;=Datos!$D$14,(K129*Datos!$C$14)))</f>
        <v>1004.5</v>
      </c>
      <c r="M129" s="284">
        <f>IF(K129&gt;=Datos!$D$15,(Datos!$D$15*Datos!$C$15),IF(K129&lt;=Datos!$D$15,(K129*Datos!$C$15)))</f>
        <v>1064</v>
      </c>
      <c r="N129" s="231">
        <f>+N126*2</f>
        <v>3430.92</v>
      </c>
      <c r="O129" s="231">
        <f t="shared" si="11"/>
        <v>29500.58</v>
      </c>
      <c r="P129" s="223">
        <f>IF(O129&lt;=Datos!$G$7,"0",IF(O129&lt;=Datos!$G$8,(O129-Datos!$F$8)*Datos!$I$6,IF(O129&lt;=Datos!$G$9,Datos!$I$8+(O129-Datos!$F$9)*Datos!$J$6,IF(O129&gt;=Datos!$F$10,(Datos!$I$8+Datos!$J$8)+(O129-Datos!$F$10)*Datos!$K$6))))-W129</f>
        <v>0</v>
      </c>
      <c r="Q129" s="231">
        <f>IFERROR(VLOOKUP(C129,[1]Hoja1!$D$5:$E$58,2,FALSE),0)</f>
        <v>5000</v>
      </c>
      <c r="R129" s="234"/>
      <c r="S129" s="234"/>
      <c r="T129" s="234"/>
      <c r="U129" s="234"/>
      <c r="V129" s="234">
        <v>25</v>
      </c>
      <c r="W129" s="231"/>
      <c r="X129" s="234">
        <f t="shared" si="10"/>
        <v>10524.42</v>
      </c>
      <c r="Y129" s="234">
        <f t="shared" si="9"/>
        <v>24475.58</v>
      </c>
      <c r="Z129" s="296" t="s">
        <v>157</v>
      </c>
      <c r="AA129" s="298">
        <v>44197</v>
      </c>
      <c r="AB129" s="235"/>
      <c r="AC129" s="264"/>
    </row>
    <row r="130" spans="1:29" s="236" customFormat="1" x14ac:dyDescent="0.25">
      <c r="A130" s="232"/>
      <c r="B130" s="302">
        <v>124</v>
      </c>
      <c r="C130" s="295" t="s">
        <v>399</v>
      </c>
      <c r="D130" s="232" t="s">
        <v>640</v>
      </c>
      <c r="E130" s="232" t="s">
        <v>85</v>
      </c>
      <c r="F130" s="232" t="s">
        <v>87</v>
      </c>
      <c r="G130" s="295">
        <v>5</v>
      </c>
      <c r="H130" s="296" t="s">
        <v>1662</v>
      </c>
      <c r="I130" s="297" t="s">
        <v>1060</v>
      </c>
      <c r="J130" s="232" t="s">
        <v>840</v>
      </c>
      <c r="K130" s="233">
        <f>63063+1937</f>
        <v>65000</v>
      </c>
      <c r="L130" s="284">
        <f>IF(K130&gt;=Datos!$D$14,(Datos!$D$14*Datos!$C$14),IF(K130&lt;=Datos!$D$14,(K130*Datos!$C$14)))</f>
        <v>1865.5</v>
      </c>
      <c r="M130" s="284">
        <f>IF(K130&gt;=Datos!$D$15,(Datos!$D$15*Datos!$C$15),IF(K130&lt;=Datos!$D$15,(K130*Datos!$C$15)))</f>
        <v>1976</v>
      </c>
      <c r="N130" s="231"/>
      <c r="O130" s="231">
        <f t="shared" si="11"/>
        <v>61158.5</v>
      </c>
      <c r="P130" s="223">
        <f>IF(O130&lt;=Datos!$G$7,"0",IF(O130&lt;=Datos!$G$8,(O130-Datos!$F$8)*Datos!$I$6,IF(O130&lt;=Datos!$G$9,Datos!$I$8+(O130-Datos!$F$9)*Datos!$J$6,IF(O130&gt;=Datos!$F$10,(Datos!$I$8+Datos!$J$8)+(O130-Datos!$F$10)*Datos!$K$6))))-W130</f>
        <v>4427.5756666666657</v>
      </c>
      <c r="Q130" s="231">
        <f>IFERROR(VLOOKUP(C130,[1]Hoja1!$D$5:$E$58,2,FALSE),0)</f>
        <v>0</v>
      </c>
      <c r="R130" s="234"/>
      <c r="S130" s="234"/>
      <c r="T130" s="234"/>
      <c r="U130" s="234"/>
      <c r="V130" s="234">
        <v>25</v>
      </c>
      <c r="W130" s="231"/>
      <c r="X130" s="234">
        <f t="shared" si="10"/>
        <v>8294.0756666666657</v>
      </c>
      <c r="Y130" s="234">
        <f t="shared" si="9"/>
        <v>56705.924333333336</v>
      </c>
      <c r="Z130" s="296" t="s">
        <v>159</v>
      </c>
      <c r="AA130" s="298">
        <v>44197</v>
      </c>
      <c r="AB130" s="235"/>
      <c r="AC130" s="264"/>
    </row>
    <row r="131" spans="1:29" s="236" customFormat="1" x14ac:dyDescent="0.25">
      <c r="A131" s="232"/>
      <c r="B131" s="302">
        <v>125</v>
      </c>
      <c r="C131" s="295" t="s">
        <v>1743</v>
      </c>
      <c r="D131" s="232" t="s">
        <v>1744</v>
      </c>
      <c r="E131" s="232" t="s">
        <v>85</v>
      </c>
      <c r="F131" s="232" t="s">
        <v>87</v>
      </c>
      <c r="G131" s="295">
        <v>1</v>
      </c>
      <c r="H131" s="296" t="s">
        <v>1548</v>
      </c>
      <c r="I131" s="297" t="s">
        <v>1067</v>
      </c>
      <c r="J131" s="232" t="s">
        <v>833</v>
      </c>
      <c r="K131" s="233">
        <v>17500</v>
      </c>
      <c r="L131" s="284">
        <f>IF(K131&gt;=Datos!$D$14,(Datos!$D$14*Datos!$C$14),IF(K131&lt;=Datos!$D$14,(K131*Datos!$C$14)))</f>
        <v>502.25</v>
      </c>
      <c r="M131" s="284">
        <f>IF(K131&gt;=Datos!$D$15,(Datos!$D$15*Datos!$C$15),IF(K131&lt;=Datos!$D$15,(K131*Datos!$C$15)))</f>
        <v>532</v>
      </c>
      <c r="N131" s="231"/>
      <c r="O131" s="231">
        <f t="shared" si="11"/>
        <v>16465.75</v>
      </c>
      <c r="P131" s="223">
        <f>IF(O131&lt;=Datos!$G$7,"0",IF(O131&lt;=Datos!$G$8,(O131-Datos!$F$8)*Datos!$I$6,IF(O131&lt;=Datos!$G$9,Datos!$I$8+(O131-Datos!$F$9)*Datos!$J$6,IF(O131&gt;=Datos!$F$10,(Datos!$I$8+Datos!$J$8)+(O131-Datos!$F$10)*Datos!$K$6))))-W131</f>
        <v>0</v>
      </c>
      <c r="Q131" s="231">
        <f>IFERROR(VLOOKUP(C131,[1]Hoja1!$D$5:$E$58,2,FALSE),0)</f>
        <v>0</v>
      </c>
      <c r="R131" s="234"/>
      <c r="S131" s="234"/>
      <c r="T131" s="234"/>
      <c r="U131" s="234"/>
      <c r="V131" s="234">
        <v>25</v>
      </c>
      <c r="W131" s="231"/>
      <c r="X131" s="234">
        <f t="shared" si="10"/>
        <v>1059.25</v>
      </c>
      <c r="Y131" s="234">
        <f t="shared" si="9"/>
        <v>16440.75</v>
      </c>
      <c r="Z131" s="296">
        <v>9607572583</v>
      </c>
      <c r="AA131" s="298">
        <v>45566</v>
      </c>
      <c r="AB131" s="235"/>
      <c r="AC131" s="264"/>
    </row>
    <row r="132" spans="1:29" s="236" customFormat="1" x14ac:dyDescent="0.25">
      <c r="A132" s="232"/>
      <c r="B132" s="302">
        <v>126</v>
      </c>
      <c r="C132" s="295" t="s">
        <v>923</v>
      </c>
      <c r="D132" s="232" t="s">
        <v>924</v>
      </c>
      <c r="E132" s="232" t="s">
        <v>85</v>
      </c>
      <c r="F132" s="232" t="s">
        <v>87</v>
      </c>
      <c r="G132" s="295">
        <v>5</v>
      </c>
      <c r="H132" s="296" t="s">
        <v>1210</v>
      </c>
      <c r="I132" s="297" t="s">
        <v>1062</v>
      </c>
      <c r="J132" s="232" t="s">
        <v>1520</v>
      </c>
      <c r="K132" s="233">
        <f>18000+17000</f>
        <v>35000</v>
      </c>
      <c r="L132" s="284">
        <f>IF(K132&gt;=Datos!$D$14,(Datos!$D$14*Datos!$C$14),IF(K132&lt;=Datos!$D$14,(K132*Datos!$C$14)))</f>
        <v>1004.5</v>
      </c>
      <c r="M132" s="284">
        <f>IF(K132&gt;=Datos!$D$15,(Datos!$D$15*Datos!$C$15),IF(K132&lt;=Datos!$D$15,(K132*Datos!$C$15)))</f>
        <v>1064</v>
      </c>
      <c r="N132" s="231">
        <v>1715.46</v>
      </c>
      <c r="O132" s="231">
        <f t="shared" si="11"/>
        <v>31216.04</v>
      </c>
      <c r="P132" s="223">
        <f>IF(O132&lt;=Datos!$G$7,"0",IF(O132&lt;=Datos!$G$8,(O132-Datos!$F$8)*Datos!$I$6,IF(O132&lt;=Datos!$G$9,Datos!$I$8+(O132-Datos!$F$9)*Datos!$J$6,IF(O132&gt;=Datos!$F$10,(Datos!$I$8+Datos!$J$8)+(O132-Datos!$F$10)*Datos!$K$6))))-W132</f>
        <v>0</v>
      </c>
      <c r="Q132" s="231">
        <f>IFERROR(VLOOKUP(C132,[1]Hoja1!$D$5:$E$58,2,FALSE),0)</f>
        <v>0</v>
      </c>
      <c r="R132" s="234"/>
      <c r="S132" s="234"/>
      <c r="T132" s="234"/>
      <c r="U132" s="234"/>
      <c r="V132" s="234">
        <v>25</v>
      </c>
      <c r="W132" s="231"/>
      <c r="X132" s="234">
        <f t="shared" si="10"/>
        <v>3808.96</v>
      </c>
      <c r="Y132" s="234">
        <f t="shared" si="9"/>
        <v>31191.040000000001</v>
      </c>
      <c r="Z132" s="296"/>
      <c r="AA132" s="298">
        <v>44652</v>
      </c>
      <c r="AB132" s="235"/>
      <c r="AC132" s="264"/>
    </row>
    <row r="133" spans="1:29" s="236" customFormat="1" x14ac:dyDescent="0.25">
      <c r="A133" s="232"/>
      <c r="B133" s="302">
        <v>127</v>
      </c>
      <c r="C133" s="295" t="s">
        <v>1047</v>
      </c>
      <c r="D133" s="232" t="s">
        <v>1044</v>
      </c>
      <c r="E133" s="232" t="s">
        <v>85</v>
      </c>
      <c r="F133" s="232" t="s">
        <v>87</v>
      </c>
      <c r="G133" s="295">
        <v>5</v>
      </c>
      <c r="H133" s="296" t="s">
        <v>1210</v>
      </c>
      <c r="I133" s="297" t="s">
        <v>1062</v>
      </c>
      <c r="J133" s="232" t="s">
        <v>1336</v>
      </c>
      <c r="K133" s="233">
        <f>25000+10000</f>
        <v>35000</v>
      </c>
      <c r="L133" s="284">
        <f>IF(K133&gt;=Datos!$D$14,(Datos!$D$14*Datos!$C$14),IF(K133&lt;=Datos!$D$14,(K133*Datos!$C$14)))</f>
        <v>1004.5</v>
      </c>
      <c r="M133" s="284">
        <f>IF(K133&gt;=Datos!$D$15,(Datos!$D$15*Datos!$C$15),IF(K133&lt;=Datos!$D$15,(K133*Datos!$C$15)))</f>
        <v>1064</v>
      </c>
      <c r="N133" s="231"/>
      <c r="O133" s="231">
        <f t="shared" si="11"/>
        <v>32931.5</v>
      </c>
      <c r="P133" s="223">
        <f>IF(O133&lt;=Datos!$G$7,"0",IF(O133&lt;=Datos!$G$8,(O133-Datos!$F$8)*Datos!$I$6,IF(O133&lt;=Datos!$G$9,Datos!$I$8+(O133-Datos!$F$9)*Datos!$J$6,IF(O133&gt;=Datos!$F$10,(Datos!$I$8+Datos!$J$8)+(O133-Datos!$F$10)*Datos!$K$6))))-W133</f>
        <v>0</v>
      </c>
      <c r="Q133" s="231">
        <f>IFERROR(VLOOKUP(C133,[1]Hoja1!$D$5:$E$58,2,FALSE),0)</f>
        <v>0</v>
      </c>
      <c r="R133" s="234"/>
      <c r="S133" s="234"/>
      <c r="T133" s="234"/>
      <c r="U133" s="234"/>
      <c r="V133" s="234">
        <v>25</v>
      </c>
      <c r="W133" s="231"/>
      <c r="X133" s="234">
        <f t="shared" si="10"/>
        <v>2093.5</v>
      </c>
      <c r="Y133" s="234">
        <f t="shared" si="9"/>
        <v>32906.5</v>
      </c>
      <c r="Z133" s="296"/>
      <c r="AA133" s="298">
        <v>44805</v>
      </c>
      <c r="AB133" s="235"/>
      <c r="AC133" s="264"/>
    </row>
    <row r="134" spans="1:29" s="236" customFormat="1" x14ac:dyDescent="0.25">
      <c r="A134" s="232"/>
      <c r="B134" s="302">
        <v>128</v>
      </c>
      <c r="C134" s="295" t="s">
        <v>400</v>
      </c>
      <c r="D134" s="232" t="s">
        <v>641</v>
      </c>
      <c r="E134" s="232" t="s">
        <v>85</v>
      </c>
      <c r="F134" s="232" t="s">
        <v>87</v>
      </c>
      <c r="G134" s="295">
        <v>5</v>
      </c>
      <c r="H134" s="296" t="s">
        <v>1662</v>
      </c>
      <c r="I134" s="297" t="s">
        <v>1060</v>
      </c>
      <c r="J134" s="232" t="s">
        <v>837</v>
      </c>
      <c r="K134" s="233">
        <v>71662.5</v>
      </c>
      <c r="L134" s="284">
        <f>IF(K134&gt;=Datos!$D$14,(Datos!$D$14*Datos!$C$14),IF(K134&lt;=Datos!$D$14,(K134*Datos!$C$14)))</f>
        <v>2056.7137499999999</v>
      </c>
      <c r="M134" s="284">
        <f>IF(K134&gt;=Datos!$D$15,(Datos!$D$15*Datos!$C$15),IF(K134&lt;=Datos!$D$15,(K134*Datos!$C$15)))</f>
        <v>2178.54</v>
      </c>
      <c r="N134" s="231"/>
      <c r="O134" s="231">
        <f t="shared" si="11"/>
        <v>67427.246249999997</v>
      </c>
      <c r="P134" s="223">
        <f>IF(O134&lt;=Datos!$G$7,"0",IF(O134&lt;=Datos!$G$8,(O134-Datos!$F$8)*Datos!$I$6,IF(O134&lt;=Datos!$G$9,Datos!$I$8+(O134-Datos!$F$9)*Datos!$J$6,IF(O134&gt;=Datos!$F$10,(Datos!$I$8+Datos!$J$8)+(O134-Datos!$F$10)*Datos!$K$6))))-W134</f>
        <v>5681.3249166666656</v>
      </c>
      <c r="Q134" s="231">
        <f>IFERROR(VLOOKUP(C134,[1]Hoja1!$D$5:$E$58,2,FALSE),0)</f>
        <v>0</v>
      </c>
      <c r="R134" s="234"/>
      <c r="S134" s="234"/>
      <c r="T134" s="234"/>
      <c r="U134" s="234"/>
      <c r="V134" s="234">
        <v>25</v>
      </c>
      <c r="W134" s="231"/>
      <c r="X134" s="234">
        <f t="shared" si="10"/>
        <v>9941.5786666666645</v>
      </c>
      <c r="Y134" s="234">
        <f t="shared" si="9"/>
        <v>61720.921333333332</v>
      </c>
      <c r="Z134" s="296" t="s">
        <v>160</v>
      </c>
      <c r="AA134" s="298">
        <v>44197</v>
      </c>
      <c r="AB134" s="235"/>
      <c r="AC134" s="264"/>
    </row>
    <row r="135" spans="1:29" s="236" customFormat="1" x14ac:dyDescent="0.25">
      <c r="A135" s="232"/>
      <c r="B135" s="302">
        <v>129</v>
      </c>
      <c r="C135" s="295" t="s">
        <v>1518</v>
      </c>
      <c r="D135" s="232" t="s">
        <v>1519</v>
      </c>
      <c r="E135" s="232" t="s">
        <v>85</v>
      </c>
      <c r="F135" s="232" t="s">
        <v>87</v>
      </c>
      <c r="G135" s="295">
        <v>5</v>
      </c>
      <c r="H135" s="296" t="s">
        <v>1210</v>
      </c>
      <c r="I135" s="297" t="s">
        <v>1062</v>
      </c>
      <c r="J135" s="232" t="s">
        <v>1520</v>
      </c>
      <c r="K135" s="233">
        <v>35000</v>
      </c>
      <c r="L135" s="284">
        <f>IF(K135&gt;=Datos!$D$14,(Datos!$D$14*Datos!$C$14),IF(K135&lt;=Datos!$D$14,(K135*Datos!$C$14)))</f>
        <v>1004.5</v>
      </c>
      <c r="M135" s="284">
        <f>IF(K135&gt;=Datos!$D$15,(Datos!$D$15*Datos!$C$15),IF(K135&lt;=Datos!$D$15,(K135*Datos!$C$15)))</f>
        <v>1064</v>
      </c>
      <c r="N135" s="231"/>
      <c r="O135" s="231">
        <f t="shared" si="11"/>
        <v>32931.5</v>
      </c>
      <c r="P135" s="223">
        <f>IF(O135&lt;=Datos!$G$7,"0",IF(O135&lt;=Datos!$G$8,(O135-Datos!$F$8)*Datos!$I$6,IF(O135&lt;=Datos!$G$9,Datos!$I$8+(O135-Datos!$F$9)*Datos!$J$6,IF(O135&gt;=Datos!$F$10,(Datos!$I$8+Datos!$J$8)+(O135-Datos!$F$10)*Datos!$K$6))))-W135</f>
        <v>0</v>
      </c>
      <c r="Q135" s="231">
        <f>IFERROR(VLOOKUP(C135,[1]Hoja1!$D$5:$E$58,2,FALSE),0)</f>
        <v>0</v>
      </c>
      <c r="R135" s="234"/>
      <c r="S135" s="234"/>
      <c r="T135" s="234"/>
      <c r="U135" s="234"/>
      <c r="V135" s="234">
        <v>25</v>
      </c>
      <c r="W135" s="231"/>
      <c r="X135" s="234">
        <f t="shared" si="10"/>
        <v>2093.5</v>
      </c>
      <c r="Y135" s="234">
        <f t="shared" si="9"/>
        <v>32906.5</v>
      </c>
      <c r="Z135" s="296">
        <v>9606937488</v>
      </c>
      <c r="AA135" s="298">
        <v>45383</v>
      </c>
      <c r="AB135" s="235"/>
      <c r="AC135" s="264"/>
    </row>
    <row r="136" spans="1:29" s="236" customFormat="1" x14ac:dyDescent="0.25">
      <c r="A136" s="232"/>
      <c r="B136" s="302">
        <v>130</v>
      </c>
      <c r="C136" s="295" t="s">
        <v>401</v>
      </c>
      <c r="D136" s="232" t="s">
        <v>642</v>
      </c>
      <c r="E136" s="232" t="s">
        <v>85</v>
      </c>
      <c r="F136" s="232" t="s">
        <v>87</v>
      </c>
      <c r="G136" s="295">
        <v>4</v>
      </c>
      <c r="H136" s="296" t="s">
        <v>1209</v>
      </c>
      <c r="I136" s="297" t="s">
        <v>1061</v>
      </c>
      <c r="J136" s="232" t="s">
        <v>977</v>
      </c>
      <c r="K136" s="233">
        <f>20000+25000+15000</f>
        <v>60000</v>
      </c>
      <c r="L136" s="284">
        <f>IF(K136&gt;=Datos!$D$14,(Datos!$D$14*Datos!$C$14),IF(K136&lt;=Datos!$D$14,(K136*Datos!$C$14)))</f>
        <v>1722</v>
      </c>
      <c r="M136" s="284">
        <f>IF(K136&gt;=Datos!$D$15,(Datos!$D$15*Datos!$C$15),IF(K136&lt;=Datos!$D$15,(K136*Datos!$C$15)))</f>
        <v>1824</v>
      </c>
      <c r="N136" s="231"/>
      <c r="O136" s="231">
        <f t="shared" si="11"/>
        <v>56454</v>
      </c>
      <c r="P136" s="223">
        <f>IF(O136&lt;=Datos!$G$7,"0",IF(O136&lt;=Datos!$G$8,(O136-Datos!$F$8)*Datos!$I$6,IF(O136&lt;=Datos!$G$9,Datos!$I$8+(O136-Datos!$F$9)*Datos!$J$6,IF(O136&gt;=Datos!$F$10,(Datos!$I$8+Datos!$J$8)+(O136-Datos!$F$10)*Datos!$K$6))))-W136</f>
        <v>3486.6756666666661</v>
      </c>
      <c r="Q136" s="231">
        <v>2000</v>
      </c>
      <c r="R136" s="234"/>
      <c r="S136" s="234"/>
      <c r="T136" s="234"/>
      <c r="U136" s="234"/>
      <c r="V136" s="234">
        <v>25</v>
      </c>
      <c r="W136" s="231"/>
      <c r="X136" s="234">
        <f t="shared" si="10"/>
        <v>9057.6756666666661</v>
      </c>
      <c r="Y136" s="234">
        <f t="shared" si="9"/>
        <v>50942.324333333338</v>
      </c>
      <c r="Z136" s="296" t="s">
        <v>161</v>
      </c>
      <c r="AA136" s="298">
        <v>44197</v>
      </c>
      <c r="AB136" s="235"/>
      <c r="AC136" s="264"/>
    </row>
    <row r="137" spans="1:29" s="236" customFormat="1" x14ac:dyDescent="0.25">
      <c r="A137" s="232"/>
      <c r="B137" s="302">
        <v>131</v>
      </c>
      <c r="C137" s="295" t="s">
        <v>1733</v>
      </c>
      <c r="D137" s="232" t="s">
        <v>1734</v>
      </c>
      <c r="E137" s="232" t="s">
        <v>85</v>
      </c>
      <c r="F137" s="232" t="s">
        <v>87</v>
      </c>
      <c r="G137" s="295">
        <v>1</v>
      </c>
      <c r="H137" s="296" t="s">
        <v>1769</v>
      </c>
      <c r="I137" s="297" t="s">
        <v>1067</v>
      </c>
      <c r="J137" s="232" t="s">
        <v>861</v>
      </c>
      <c r="K137" s="233">
        <v>20000</v>
      </c>
      <c r="L137" s="284">
        <f>IF(K137&gt;=Datos!$D$14,(Datos!$D$14*Datos!$C$14),IF(K137&lt;=Datos!$D$14,(K137*Datos!$C$14)))</f>
        <v>574</v>
      </c>
      <c r="M137" s="284">
        <f>IF(K137&gt;=Datos!$D$15,(Datos!$D$15*Datos!$C$15),IF(K137&lt;=Datos!$D$15,(K137*Datos!$C$15)))</f>
        <v>608</v>
      </c>
      <c r="N137" s="231"/>
      <c r="O137" s="231">
        <f t="shared" si="11"/>
        <v>18818</v>
      </c>
      <c r="P137" s="223">
        <f>IF(O137&lt;=Datos!$G$7,"0",IF(O137&lt;=Datos!$G$8,(O137-Datos!$F$8)*Datos!$I$6,IF(O137&lt;=Datos!$G$9,Datos!$I$8+(O137-Datos!$F$9)*Datos!$J$6,IF(O137&gt;=Datos!$F$10,(Datos!$I$8+Datos!$J$8)+(O137-Datos!$F$10)*Datos!$K$6))))-W137</f>
        <v>0</v>
      </c>
      <c r="Q137" s="231">
        <v>0</v>
      </c>
      <c r="R137" s="234"/>
      <c r="S137" s="234"/>
      <c r="T137" s="234"/>
      <c r="U137" s="234"/>
      <c r="V137" s="234">
        <v>25</v>
      </c>
      <c r="W137" s="231"/>
      <c r="X137" s="234">
        <f t="shared" si="10"/>
        <v>1207</v>
      </c>
      <c r="Y137" s="234">
        <f t="shared" si="9"/>
        <v>18793</v>
      </c>
      <c r="Z137" s="296">
        <v>9607572576</v>
      </c>
      <c r="AA137" s="298">
        <v>45566</v>
      </c>
      <c r="AB137" s="235"/>
      <c r="AC137" s="264"/>
    </row>
    <row r="138" spans="1:29" s="236" customFormat="1" x14ac:dyDescent="0.25">
      <c r="A138" s="232"/>
      <c r="B138" s="302">
        <v>132</v>
      </c>
      <c r="C138" s="295" t="s">
        <v>1366</v>
      </c>
      <c r="D138" s="297" t="s">
        <v>1388</v>
      </c>
      <c r="E138" s="232" t="s">
        <v>85</v>
      </c>
      <c r="F138" s="232" t="s">
        <v>87</v>
      </c>
      <c r="G138" s="295">
        <v>4</v>
      </c>
      <c r="H138" s="296" t="s">
        <v>1209</v>
      </c>
      <c r="I138" s="297" t="s">
        <v>1067</v>
      </c>
      <c r="J138" s="232" t="s">
        <v>977</v>
      </c>
      <c r="K138" s="233">
        <v>60000</v>
      </c>
      <c r="L138" s="284">
        <f>IF(K138&gt;=Datos!$D$14,(Datos!$D$14*Datos!$C$14),IF(K138&lt;=Datos!$D$14,(K138*Datos!$C$14)))</f>
        <v>1722</v>
      </c>
      <c r="M138" s="284">
        <f>IF(K138&gt;=Datos!$D$15,(Datos!$D$15*Datos!$C$15),IF(K138&lt;=Datos!$D$15,(K138*Datos!$C$15)))</f>
        <v>1824</v>
      </c>
      <c r="N138" s="231"/>
      <c r="O138" s="231">
        <f t="shared" si="11"/>
        <v>56454</v>
      </c>
      <c r="P138" s="223">
        <f>IF(O138&lt;=Datos!$G$7,"0",IF(O138&lt;=Datos!$G$8,(O138-Datos!$F$8)*Datos!$I$6,IF(O138&lt;=Datos!$G$9,Datos!$I$8+(O138-Datos!$F$9)*Datos!$J$6,IF(O138&gt;=Datos!$F$10,(Datos!$I$8+Datos!$J$8)+(O138-Datos!$F$10)*Datos!$K$6))))-W138</f>
        <v>3486.6756666666661</v>
      </c>
      <c r="Q138" s="231">
        <v>0</v>
      </c>
      <c r="R138" s="234"/>
      <c r="S138" s="234"/>
      <c r="T138" s="234"/>
      <c r="U138" s="234"/>
      <c r="V138" s="234">
        <v>25</v>
      </c>
      <c r="W138" s="231"/>
      <c r="X138" s="234">
        <f t="shared" si="10"/>
        <v>7057.6756666666661</v>
      </c>
      <c r="Y138" s="234">
        <f t="shared" si="9"/>
        <v>52942.324333333338</v>
      </c>
      <c r="Z138" s="296">
        <v>9606252886</v>
      </c>
      <c r="AA138" s="298">
        <v>45200</v>
      </c>
      <c r="AB138" s="235"/>
      <c r="AC138" s="264"/>
    </row>
    <row r="139" spans="1:29" s="236" customFormat="1" x14ac:dyDescent="0.25">
      <c r="A139" s="232"/>
      <c r="B139" s="302">
        <v>133</v>
      </c>
      <c r="C139" s="295" t="s">
        <v>1297</v>
      </c>
      <c r="D139" s="232" t="s">
        <v>1511</v>
      </c>
      <c r="E139" s="232" t="s">
        <v>85</v>
      </c>
      <c r="F139" s="232" t="s">
        <v>87</v>
      </c>
      <c r="G139" s="295">
        <v>1</v>
      </c>
      <c r="H139" s="296" t="s">
        <v>1834</v>
      </c>
      <c r="I139" s="297" t="s">
        <v>1060</v>
      </c>
      <c r="J139" s="232" t="s">
        <v>854</v>
      </c>
      <c r="K139" s="233">
        <v>26000</v>
      </c>
      <c r="L139" s="284">
        <f>IF(K139&gt;=Datos!$D$14,(Datos!$D$14*Datos!$C$14),IF(K139&lt;=Datos!$D$14,(K139*Datos!$C$14)))</f>
        <v>746.2</v>
      </c>
      <c r="M139" s="284">
        <f>IF(K139&gt;=Datos!$D$15,(Datos!$D$15*Datos!$C$15),IF(K139&lt;=Datos!$D$15,(K139*Datos!$C$15)))</f>
        <v>790.4</v>
      </c>
      <c r="N139" s="231">
        <v>1715.46</v>
      </c>
      <c r="O139" s="231">
        <f t="shared" si="11"/>
        <v>22747.94</v>
      </c>
      <c r="P139" s="223">
        <f>IF(O139&lt;=Datos!$G$7,"0",IF(O139&lt;=Datos!$G$8,(O139-Datos!$F$8)*Datos!$I$6,IF(O139&lt;=Datos!$G$9,Datos!$I$8+(O139-Datos!$F$9)*Datos!$J$6,IF(O139&gt;=Datos!$F$10,(Datos!$I$8+Datos!$J$8)+(O139-Datos!$F$10)*Datos!$K$6))))-W139</f>
        <v>0</v>
      </c>
      <c r="Q139" s="231">
        <f>IFERROR(VLOOKUP(C139,[1]Hoja1!$D$5:$E$58,2,FALSE),0)</f>
        <v>0</v>
      </c>
      <c r="R139" s="234"/>
      <c r="S139" s="234"/>
      <c r="T139" s="234"/>
      <c r="U139" s="234"/>
      <c r="V139" s="234">
        <v>25</v>
      </c>
      <c r="W139" s="231"/>
      <c r="X139" s="234">
        <f t="shared" si="10"/>
        <v>3277.06</v>
      </c>
      <c r="Y139" s="234">
        <f t="shared" si="9"/>
        <v>22722.94</v>
      </c>
      <c r="Z139" s="296"/>
      <c r="AA139" s="298">
        <v>45078</v>
      </c>
      <c r="AB139" s="235"/>
      <c r="AC139" s="264"/>
    </row>
    <row r="140" spans="1:29" s="236" customFormat="1" x14ac:dyDescent="0.25">
      <c r="A140" s="232"/>
      <c r="B140" s="302">
        <v>134</v>
      </c>
      <c r="C140" s="295" t="s">
        <v>995</v>
      </c>
      <c r="D140" s="297" t="s">
        <v>996</v>
      </c>
      <c r="E140" s="232" t="s">
        <v>86</v>
      </c>
      <c r="F140" s="232" t="s">
        <v>87</v>
      </c>
      <c r="G140" s="295">
        <v>1</v>
      </c>
      <c r="H140" s="296" t="s">
        <v>1548</v>
      </c>
      <c r="I140" s="297" t="s">
        <v>1062</v>
      </c>
      <c r="J140" s="232" t="s">
        <v>842</v>
      </c>
      <c r="K140" s="233">
        <v>25000</v>
      </c>
      <c r="L140" s="284">
        <f>IF(K140&gt;=Datos!$D$14,(Datos!$D$14*Datos!$C$14),IF(K140&lt;=Datos!$D$14,(K140*Datos!$C$14)))</f>
        <v>717.5</v>
      </c>
      <c r="M140" s="284">
        <f>IF(K140&gt;=Datos!$D$15,(Datos!$D$15*Datos!$C$15),IF(K140&lt;=Datos!$D$15,(K140*Datos!$C$15)))</f>
        <v>760</v>
      </c>
      <c r="N140" s="231"/>
      <c r="O140" s="231">
        <f t="shared" si="11"/>
        <v>23522.5</v>
      </c>
      <c r="P140" s="223">
        <f>IF(O140&lt;=Datos!$G$7,"0",IF(O140&lt;=Datos!$G$8,(O140-Datos!$F$8)*Datos!$I$6,IF(O140&lt;=Datos!$G$9,Datos!$I$8+(O140-Datos!$F$9)*Datos!$J$6,IF(O140&gt;=Datos!$F$10,(Datos!$I$8+Datos!$J$8)+(O140-Datos!$F$10)*Datos!$K$6))))-W140</f>
        <v>0</v>
      </c>
      <c r="Q140" s="231">
        <f>IFERROR(VLOOKUP(C140,[1]Hoja1!$D$5:$E$58,2,FALSE),0)</f>
        <v>0</v>
      </c>
      <c r="R140" s="234"/>
      <c r="S140" s="234"/>
      <c r="T140" s="234"/>
      <c r="U140" s="234"/>
      <c r="V140" s="234">
        <v>25</v>
      </c>
      <c r="W140" s="231"/>
      <c r="X140" s="234">
        <f t="shared" si="10"/>
        <v>1502.5</v>
      </c>
      <c r="Y140" s="234">
        <f t="shared" si="9"/>
        <v>23497.5</v>
      </c>
      <c r="Z140" s="296"/>
      <c r="AA140" s="298">
        <v>44743</v>
      </c>
      <c r="AB140" s="235"/>
      <c r="AC140" s="264"/>
    </row>
    <row r="141" spans="1:29" s="236" customFormat="1" x14ac:dyDescent="0.25">
      <c r="A141" s="232"/>
      <c r="B141" s="302">
        <v>135</v>
      </c>
      <c r="C141" s="295" t="s">
        <v>402</v>
      </c>
      <c r="D141" s="232" t="s">
        <v>643</v>
      </c>
      <c r="E141" s="232" t="s">
        <v>85</v>
      </c>
      <c r="F141" s="232" t="s">
        <v>87</v>
      </c>
      <c r="G141" s="295">
        <v>4</v>
      </c>
      <c r="H141" s="296" t="s">
        <v>1211</v>
      </c>
      <c r="I141" s="297" t="s">
        <v>1060</v>
      </c>
      <c r="J141" s="232" t="s">
        <v>836</v>
      </c>
      <c r="K141" s="233">
        <f>77175+2825</f>
        <v>80000</v>
      </c>
      <c r="L141" s="284">
        <f>IF(K141&gt;=Datos!$D$14,(Datos!$D$14*Datos!$C$14),IF(K141&lt;=Datos!$D$14,(K141*Datos!$C$14)))</f>
        <v>2296</v>
      </c>
      <c r="M141" s="284">
        <f>IF(K141&gt;=Datos!$D$15,(Datos!$D$15*Datos!$C$15),IF(K141&lt;=Datos!$D$15,(K141*Datos!$C$15)))</f>
        <v>2432</v>
      </c>
      <c r="N141" s="231"/>
      <c r="O141" s="231">
        <f t="shared" si="11"/>
        <v>75272</v>
      </c>
      <c r="P141" s="223">
        <f>IF(O141&lt;=Datos!$G$7,"0",IF(O141&lt;=Datos!$G$8,(O141-Datos!$F$8)*Datos!$I$6,IF(O141&lt;=Datos!$G$9,Datos!$I$8+(O141-Datos!$F$9)*Datos!$J$6,IF(O141&gt;=Datos!$F$10,(Datos!$I$8+Datos!$J$8)+(O141-Datos!$F$10)*Datos!$K$6))))-W141</f>
        <v>7400.8606666666674</v>
      </c>
      <c r="Q141" s="231">
        <f>IFERROR(VLOOKUP(C141,[1]Hoja1!$D$5:$E$58,2,FALSE),0)</f>
        <v>0</v>
      </c>
      <c r="R141" s="234"/>
      <c r="S141" s="234"/>
      <c r="T141" s="234"/>
      <c r="U141" s="234"/>
      <c r="V141" s="234">
        <v>25</v>
      </c>
      <c r="W141" s="231"/>
      <c r="X141" s="234">
        <f t="shared" si="10"/>
        <v>12153.860666666667</v>
      </c>
      <c r="Y141" s="234">
        <f t="shared" si="9"/>
        <v>67846.139333333325</v>
      </c>
      <c r="Z141" s="296" t="s">
        <v>162</v>
      </c>
      <c r="AA141" s="298">
        <v>44197</v>
      </c>
      <c r="AB141" s="235"/>
      <c r="AC141" s="264"/>
    </row>
    <row r="142" spans="1:29" s="236" customFormat="1" x14ac:dyDescent="0.25">
      <c r="A142" s="232"/>
      <c r="B142" s="302">
        <v>136</v>
      </c>
      <c r="C142" s="295" t="s">
        <v>403</v>
      </c>
      <c r="D142" s="232" t="s">
        <v>644</v>
      </c>
      <c r="E142" s="232" t="s">
        <v>85</v>
      </c>
      <c r="F142" s="232" t="s">
        <v>87</v>
      </c>
      <c r="G142" s="295">
        <v>5</v>
      </c>
      <c r="H142" s="296" t="s">
        <v>1210</v>
      </c>
      <c r="I142" s="297" t="s">
        <v>1062</v>
      </c>
      <c r="J142" s="232" t="s">
        <v>837</v>
      </c>
      <c r="K142" s="233">
        <f>58500+6500</f>
        <v>65000</v>
      </c>
      <c r="L142" s="284">
        <f>IF(K142&gt;=Datos!$D$14,(Datos!$D$14*Datos!$C$14),IF(K142&lt;=Datos!$D$14,(K142*Datos!$C$14)))</f>
        <v>1865.5</v>
      </c>
      <c r="M142" s="284">
        <f>IF(K142&gt;=Datos!$D$15,(Datos!$D$15*Datos!$C$15),IF(K142&lt;=Datos!$D$15,(K142*Datos!$C$15)))</f>
        <v>1976</v>
      </c>
      <c r="N142" s="231"/>
      <c r="O142" s="231">
        <f t="shared" si="11"/>
        <v>61158.5</v>
      </c>
      <c r="P142" s="223">
        <f>IF(O142&lt;=Datos!$G$7,"0",IF(O142&lt;=Datos!$G$8,(O142-Datos!$F$8)*Datos!$I$6,IF(O142&lt;=Datos!$G$9,Datos!$I$8+(O142-Datos!$F$9)*Datos!$J$6,IF(O142&gt;=Datos!$F$10,(Datos!$I$8+Datos!$J$8)+(O142-Datos!$F$10)*Datos!$K$6))))-W142</f>
        <v>4427.5756666666657</v>
      </c>
      <c r="Q142" s="231">
        <f>IFERROR(VLOOKUP(C142,[1]Hoja1!$D$5:$E$58,2,FALSE),0)</f>
        <v>0</v>
      </c>
      <c r="R142" s="234"/>
      <c r="S142" s="234"/>
      <c r="T142" s="234"/>
      <c r="U142" s="234"/>
      <c r="V142" s="234">
        <v>25</v>
      </c>
      <c r="W142" s="231"/>
      <c r="X142" s="234">
        <f t="shared" si="10"/>
        <v>8294.0756666666657</v>
      </c>
      <c r="Y142" s="234">
        <f t="shared" si="9"/>
        <v>56705.924333333336</v>
      </c>
      <c r="Z142" s="296" t="s">
        <v>163</v>
      </c>
      <c r="AA142" s="298">
        <v>44197</v>
      </c>
      <c r="AB142" s="235"/>
      <c r="AC142" s="264"/>
    </row>
    <row r="143" spans="1:29" s="236" customFormat="1" x14ac:dyDescent="0.25">
      <c r="A143" s="232"/>
      <c r="B143" s="302">
        <v>137</v>
      </c>
      <c r="C143" s="295" t="s">
        <v>1485</v>
      </c>
      <c r="D143" s="232" t="s">
        <v>1490</v>
      </c>
      <c r="E143" s="232" t="s">
        <v>86</v>
      </c>
      <c r="F143" s="232" t="s">
        <v>87</v>
      </c>
      <c r="G143" s="295">
        <v>1</v>
      </c>
      <c r="H143" s="296" t="s">
        <v>1491</v>
      </c>
      <c r="I143" s="297" t="s">
        <v>1067</v>
      </c>
      <c r="J143" s="232" t="s">
        <v>903</v>
      </c>
      <c r="K143" s="233">
        <v>40000</v>
      </c>
      <c r="L143" s="284">
        <f>IF(K143&gt;=Datos!$D$14,(Datos!$D$14*Datos!$C$14),IF(K143&lt;=Datos!$D$14,(K143*Datos!$C$14)))</f>
        <v>1148</v>
      </c>
      <c r="M143" s="284">
        <f>IF(K143&gt;=Datos!$D$15,(Datos!$D$15*Datos!$C$15),IF(K143&lt;=Datos!$D$15,(K143*Datos!$C$15)))</f>
        <v>1216</v>
      </c>
      <c r="N143" s="231"/>
      <c r="O143" s="231">
        <f t="shared" si="11"/>
        <v>37636</v>
      </c>
      <c r="P143" s="223">
        <f>IF(O143&lt;=Datos!$G$7,"0",IF(O143&lt;=Datos!$G$8,(O143-Datos!$F$8)*Datos!$I$6,IF(O143&lt;=Datos!$G$9,Datos!$I$8+(O143-Datos!$F$9)*Datos!$J$6,IF(O143&gt;=Datos!$F$10,(Datos!$I$8+Datos!$J$8)+(O143-Datos!$F$10)*Datos!$K$6))))-W143</f>
        <v>442.64849999999967</v>
      </c>
      <c r="Q143" s="231">
        <f>IFERROR(VLOOKUP(C143,[1]Hoja1!$D$5:$E$58,2,FALSE),0)</f>
        <v>0</v>
      </c>
      <c r="R143" s="234"/>
      <c r="S143" s="234"/>
      <c r="T143" s="234"/>
      <c r="U143" s="234"/>
      <c r="V143" s="234">
        <v>25</v>
      </c>
      <c r="W143" s="231"/>
      <c r="X143" s="234">
        <f t="shared" si="10"/>
        <v>2831.6484999999998</v>
      </c>
      <c r="Y143" s="234">
        <f t="shared" si="9"/>
        <v>37168.351499999997</v>
      </c>
      <c r="Z143" s="296">
        <v>9606708609</v>
      </c>
      <c r="AA143" s="298">
        <v>45352</v>
      </c>
      <c r="AB143" s="235"/>
      <c r="AC143" s="264"/>
    </row>
    <row r="144" spans="1:29" s="236" customFormat="1" x14ac:dyDescent="0.25">
      <c r="A144" s="232"/>
      <c r="B144" s="302">
        <v>138</v>
      </c>
      <c r="C144" s="295" t="s">
        <v>404</v>
      </c>
      <c r="D144" s="232" t="s">
        <v>645</v>
      </c>
      <c r="E144" s="232" t="s">
        <v>86</v>
      </c>
      <c r="F144" s="232" t="s">
        <v>87</v>
      </c>
      <c r="G144" s="295">
        <v>1</v>
      </c>
      <c r="H144" s="296" t="s">
        <v>1214</v>
      </c>
      <c r="I144" s="297" t="s">
        <v>1062</v>
      </c>
      <c r="J144" s="232" t="s">
        <v>857</v>
      </c>
      <c r="K144" s="233">
        <f>160000+10000</f>
        <v>170000</v>
      </c>
      <c r="L144" s="284">
        <f>IF(K144&gt;=Datos!$D$14,(Datos!$D$14*Datos!$C$14),IF(K144&lt;=Datos!$D$14,(K144*Datos!$C$14)))</f>
        <v>4879</v>
      </c>
      <c r="M144" s="284">
        <f>IF(K144&gt;=Datos!$D$15,(Datos!$D$15*Datos!$C$15),IF(K144&lt;=Datos!$D$15,(K144*Datos!$C$15)))</f>
        <v>5168</v>
      </c>
      <c r="N144" s="231">
        <v>1715.46</v>
      </c>
      <c r="O144" s="231">
        <f t="shared" si="11"/>
        <v>158237.54</v>
      </c>
      <c r="P144" s="223">
        <f>IF(O144&lt;=Datos!$G$7,"0",IF(O144&lt;=Datos!$G$8,(O144-Datos!$F$8)*Datos!$I$6,IF(O144&lt;=Datos!$G$9,Datos!$I$8+(O144-Datos!$F$9)*Datos!$J$6,IF(O144&gt;=Datos!$F$10,(Datos!$I$8+Datos!$J$8)+(O144-Datos!$F$10)*Datos!$K$6))))-W144</f>
        <v>28142.245666666669</v>
      </c>
      <c r="Q144" s="231">
        <f>IFERROR(VLOOKUP(C144,[1]Hoja1!$D$5:$E$58,2,FALSE),0)</f>
        <v>0</v>
      </c>
      <c r="R144" s="234"/>
      <c r="S144" s="234"/>
      <c r="T144" s="234"/>
      <c r="U144" s="234"/>
      <c r="V144" s="234">
        <v>25</v>
      </c>
      <c r="W144" s="231"/>
      <c r="X144" s="234">
        <f t="shared" si="10"/>
        <v>39929.705666666669</v>
      </c>
      <c r="Y144" s="234">
        <f t="shared" si="9"/>
        <v>130070.29433333332</v>
      </c>
      <c r="Z144" s="296" t="s">
        <v>164</v>
      </c>
      <c r="AA144" s="298">
        <v>37191</v>
      </c>
      <c r="AB144" s="235"/>
      <c r="AC144" s="264"/>
    </row>
    <row r="145" spans="1:29" s="236" customFormat="1" x14ac:dyDescent="0.25">
      <c r="A145" s="232"/>
      <c r="B145" s="302">
        <v>139</v>
      </c>
      <c r="C145" s="295" t="s">
        <v>405</v>
      </c>
      <c r="D145" s="232" t="s">
        <v>646</v>
      </c>
      <c r="E145" s="232" t="s">
        <v>85</v>
      </c>
      <c r="F145" s="232" t="s">
        <v>87</v>
      </c>
      <c r="G145" s="295">
        <v>5</v>
      </c>
      <c r="H145" s="296" t="s">
        <v>1210</v>
      </c>
      <c r="I145" s="297" t="s">
        <v>1061</v>
      </c>
      <c r="J145" s="232" t="s">
        <v>837</v>
      </c>
      <c r="K145" s="233">
        <f>54340+5660</f>
        <v>60000</v>
      </c>
      <c r="L145" s="284">
        <f>IF(K145&gt;=Datos!$D$14,(Datos!$D$14*Datos!$C$14),IF(K145&lt;=Datos!$D$14,(K145*Datos!$C$14)))</f>
        <v>1722</v>
      </c>
      <c r="M145" s="284">
        <f>IF(K145&gt;=Datos!$D$15,(Datos!$D$15*Datos!$C$15),IF(K145&lt;=Datos!$D$15,(K145*Datos!$C$15)))</f>
        <v>1824</v>
      </c>
      <c r="N145" s="231">
        <v>1715.46</v>
      </c>
      <c r="O145" s="231">
        <f t="shared" si="11"/>
        <v>54738.54</v>
      </c>
      <c r="P145" s="223">
        <f>IF(O145&lt;=Datos!$G$7,"0",IF(O145&lt;=Datos!$G$8,(O145-Datos!$F$8)*Datos!$I$6,IF(O145&lt;=Datos!$G$9,Datos!$I$8+(O145-Datos!$F$9)*Datos!$J$6,IF(O145&gt;=Datos!$F$10,(Datos!$I$8+Datos!$J$8)+(O145-Datos!$F$10)*Datos!$K$6))))-W145</f>
        <v>3143.5836666666664</v>
      </c>
      <c r="Q145" s="231">
        <f>IFERROR(VLOOKUP(C145,[1]Hoja1!$D$5:$E$58,2,FALSE),0)</f>
        <v>0</v>
      </c>
      <c r="R145" s="234"/>
      <c r="S145" s="234"/>
      <c r="T145" s="234"/>
      <c r="U145" s="234"/>
      <c r="V145" s="234">
        <v>25</v>
      </c>
      <c r="W145" s="231"/>
      <c r="X145" s="234">
        <f t="shared" si="10"/>
        <v>8430.0436666666665</v>
      </c>
      <c r="Y145" s="234">
        <f t="shared" si="9"/>
        <v>51569.956333333335</v>
      </c>
      <c r="Z145" s="296" t="s">
        <v>165</v>
      </c>
      <c r="AA145" s="298">
        <v>41883</v>
      </c>
      <c r="AB145" s="235"/>
      <c r="AC145" s="264"/>
    </row>
    <row r="146" spans="1:29" s="236" customFormat="1" x14ac:dyDescent="0.25">
      <c r="A146" s="232"/>
      <c r="B146" s="302">
        <v>140</v>
      </c>
      <c r="C146" s="295" t="s">
        <v>406</v>
      </c>
      <c r="D146" s="232" t="s">
        <v>647</v>
      </c>
      <c r="E146" s="232" t="s">
        <v>85</v>
      </c>
      <c r="F146" s="232" t="s">
        <v>87</v>
      </c>
      <c r="G146" s="295">
        <v>5</v>
      </c>
      <c r="H146" s="296" t="s">
        <v>1210</v>
      </c>
      <c r="I146" s="297" t="s">
        <v>1060</v>
      </c>
      <c r="J146" s="232" t="s">
        <v>837</v>
      </c>
      <c r="K146" s="233">
        <f>56810+8190</f>
        <v>65000</v>
      </c>
      <c r="L146" s="284">
        <f>IF(K146&gt;=Datos!$D$14,(Datos!$D$14*Datos!$C$14),IF(K146&lt;=Datos!$D$14,(K146*Datos!$C$14)))</f>
        <v>1865.5</v>
      </c>
      <c r="M146" s="284">
        <f>IF(K146&gt;=Datos!$D$15,(Datos!$D$15*Datos!$C$15),IF(K146&lt;=Datos!$D$15,(K146*Datos!$C$15)))</f>
        <v>1976</v>
      </c>
      <c r="N146" s="231"/>
      <c r="O146" s="231">
        <f t="shared" si="11"/>
        <v>61158.5</v>
      </c>
      <c r="P146" s="223">
        <f>IF(O146&lt;=Datos!$G$7,"0",IF(O146&lt;=Datos!$G$8,(O146-Datos!$F$8)*Datos!$I$6,IF(O146&lt;=Datos!$G$9,Datos!$I$8+(O146-Datos!$F$9)*Datos!$J$6,IF(O146&gt;=Datos!$F$10,(Datos!$I$8+Datos!$J$8)+(O146-Datos!$F$10)*Datos!$K$6))))-W146</f>
        <v>4427.5756666666657</v>
      </c>
      <c r="Q146" s="231">
        <f>IFERROR(VLOOKUP(C146,[1]Hoja1!$D$5:$E$58,2,FALSE),0)</f>
        <v>0</v>
      </c>
      <c r="R146" s="234"/>
      <c r="S146" s="234"/>
      <c r="T146" s="234"/>
      <c r="U146" s="234"/>
      <c r="V146" s="234">
        <v>25</v>
      </c>
      <c r="W146" s="231"/>
      <c r="X146" s="234">
        <f t="shared" si="10"/>
        <v>8294.0756666666657</v>
      </c>
      <c r="Y146" s="234">
        <f t="shared" si="9"/>
        <v>56705.924333333336</v>
      </c>
      <c r="Z146" s="296" t="s">
        <v>166</v>
      </c>
      <c r="AA146" s="298">
        <v>44197</v>
      </c>
      <c r="AB146" s="235"/>
      <c r="AC146" s="264"/>
    </row>
    <row r="147" spans="1:29" s="236" customFormat="1" x14ac:dyDescent="0.25">
      <c r="A147" s="232"/>
      <c r="B147" s="302">
        <v>141</v>
      </c>
      <c r="C147" s="295" t="s">
        <v>407</v>
      </c>
      <c r="D147" s="232" t="s">
        <v>648</v>
      </c>
      <c r="E147" s="232" t="s">
        <v>85</v>
      </c>
      <c r="F147" s="232" t="s">
        <v>87</v>
      </c>
      <c r="G147" s="295">
        <v>5</v>
      </c>
      <c r="H147" s="296" t="s">
        <v>1210</v>
      </c>
      <c r="I147" s="297" t="s">
        <v>1062</v>
      </c>
      <c r="J147" s="232" t="s">
        <v>944</v>
      </c>
      <c r="K147" s="233">
        <f>25000+20000+15000</f>
        <v>60000</v>
      </c>
      <c r="L147" s="284">
        <f>IF(K147&gt;=Datos!$D$14,(Datos!$D$14*Datos!$C$14),IF(K147&lt;=Datos!$D$14,(K147*Datos!$C$14)))</f>
        <v>1722</v>
      </c>
      <c r="M147" s="284">
        <f>IF(K147&gt;=Datos!$D$15,(Datos!$D$15*Datos!$C$15),IF(K147&lt;=Datos!$D$15,(K147*Datos!$C$15)))</f>
        <v>1824</v>
      </c>
      <c r="N147" s="231"/>
      <c r="O147" s="231">
        <f t="shared" si="11"/>
        <v>56454</v>
      </c>
      <c r="P147" s="223">
        <f>IF(O147&lt;=Datos!$G$7,"0",IF(O147&lt;=Datos!$G$8,(O147-Datos!$F$8)*Datos!$I$6,IF(O147&lt;=Datos!$G$9,Datos!$I$8+(O147-Datos!$F$9)*Datos!$J$6,IF(O147&gt;=Datos!$F$10,(Datos!$I$8+Datos!$J$8)+(O147-Datos!$F$10)*Datos!$K$6))))-W147</f>
        <v>3486.6756666666661</v>
      </c>
      <c r="Q147" s="231">
        <f>IFERROR(VLOOKUP(C147,[1]Hoja1!$D$5:$E$58,2,FALSE),0)</f>
        <v>0</v>
      </c>
      <c r="R147" s="234"/>
      <c r="S147" s="234"/>
      <c r="T147" s="234"/>
      <c r="U147" s="234"/>
      <c r="V147" s="234">
        <v>25</v>
      </c>
      <c r="W147" s="231"/>
      <c r="X147" s="234">
        <f t="shared" si="10"/>
        <v>7057.6756666666661</v>
      </c>
      <c r="Y147" s="234">
        <f t="shared" si="9"/>
        <v>52942.324333333338</v>
      </c>
      <c r="Z147" s="296" t="s">
        <v>167</v>
      </c>
      <c r="AA147" s="298">
        <v>44531</v>
      </c>
      <c r="AB147" s="235"/>
      <c r="AC147" s="264"/>
    </row>
    <row r="148" spans="1:29" s="236" customFormat="1" x14ac:dyDescent="0.25">
      <c r="A148" s="232"/>
      <c r="B148" s="302">
        <v>142</v>
      </c>
      <c r="C148" s="295" t="s">
        <v>408</v>
      </c>
      <c r="D148" s="232" t="s">
        <v>649</v>
      </c>
      <c r="E148" s="232" t="s">
        <v>85</v>
      </c>
      <c r="F148" s="232" t="s">
        <v>87</v>
      </c>
      <c r="G148" s="295">
        <v>5</v>
      </c>
      <c r="H148" s="296" t="s">
        <v>1662</v>
      </c>
      <c r="I148" s="297" t="s">
        <v>1062</v>
      </c>
      <c r="J148" s="232" t="s">
        <v>1116</v>
      </c>
      <c r="K148" s="233">
        <f>26250+18750+20000</f>
        <v>65000</v>
      </c>
      <c r="L148" s="284">
        <f>IF(K148&gt;=Datos!$D$14,(Datos!$D$14*Datos!$C$14),IF(K148&lt;=Datos!$D$14,(K148*Datos!$C$14)))</f>
        <v>1865.5</v>
      </c>
      <c r="M148" s="284">
        <f>IF(K148&gt;=Datos!$D$15,(Datos!$D$15*Datos!$C$15),IF(K148&lt;=Datos!$D$15,(K148*Datos!$C$15)))</f>
        <v>1976</v>
      </c>
      <c r="N148" s="231"/>
      <c r="O148" s="231">
        <f t="shared" si="11"/>
        <v>61158.5</v>
      </c>
      <c r="P148" s="223">
        <f>IF(O148&lt;=Datos!$G$7,"0",IF(O148&lt;=Datos!$G$8,(O148-Datos!$F$8)*Datos!$I$6,IF(O148&lt;=Datos!$G$9,Datos!$I$8+(O148-Datos!$F$9)*Datos!$J$6,IF(O148&gt;=Datos!$F$10,(Datos!$I$8+Datos!$J$8)+(O148-Datos!$F$10)*Datos!$K$6))))-W148</f>
        <v>4427.5756666666657</v>
      </c>
      <c r="Q148" s="231">
        <f>IFERROR(VLOOKUP(C148,[1]Hoja1!$D$5:$E$58,2,FALSE),0)</f>
        <v>0</v>
      </c>
      <c r="R148" s="234"/>
      <c r="S148" s="234"/>
      <c r="T148" s="234"/>
      <c r="U148" s="234"/>
      <c r="V148" s="234">
        <v>25</v>
      </c>
      <c r="W148" s="231"/>
      <c r="X148" s="234">
        <f t="shared" si="10"/>
        <v>8294.0756666666657</v>
      </c>
      <c r="Y148" s="234">
        <f t="shared" si="9"/>
        <v>56705.924333333336</v>
      </c>
      <c r="Z148" s="296" t="s">
        <v>168</v>
      </c>
      <c r="AA148" s="298">
        <v>44197</v>
      </c>
      <c r="AB148" s="235"/>
      <c r="AC148" s="264"/>
    </row>
    <row r="149" spans="1:29" s="236" customFormat="1" x14ac:dyDescent="0.25">
      <c r="A149" s="232"/>
      <c r="B149" s="302">
        <v>143</v>
      </c>
      <c r="C149" s="295" t="s">
        <v>410</v>
      </c>
      <c r="D149" s="232" t="s">
        <v>651</v>
      </c>
      <c r="E149" s="232" t="s">
        <v>86</v>
      </c>
      <c r="F149" s="232" t="s">
        <v>87</v>
      </c>
      <c r="G149" s="295">
        <v>5</v>
      </c>
      <c r="H149" s="296" t="s">
        <v>1210</v>
      </c>
      <c r="I149" s="297" t="s">
        <v>1060</v>
      </c>
      <c r="J149" s="232" t="s">
        <v>837</v>
      </c>
      <c r="K149" s="233">
        <v>71662.5</v>
      </c>
      <c r="L149" s="284">
        <f>IF(K149&gt;=Datos!$D$14,(Datos!$D$14*Datos!$C$14),IF(K149&lt;=Datos!$D$14,(K149*Datos!$C$14)))</f>
        <v>2056.7137499999999</v>
      </c>
      <c r="M149" s="284">
        <f>IF(K149&gt;=Datos!$D$15,(Datos!$D$15*Datos!$C$15),IF(K149&lt;=Datos!$D$15,(K149*Datos!$C$15)))</f>
        <v>2178.54</v>
      </c>
      <c r="N149" s="231"/>
      <c r="O149" s="231">
        <f t="shared" si="11"/>
        <v>67427.246249999997</v>
      </c>
      <c r="P149" s="223">
        <f>IF(O149&lt;=Datos!$G$7,"0",IF(O149&lt;=Datos!$G$8,(O149-Datos!$F$8)*Datos!$I$6,IF(O149&lt;=Datos!$G$9,Datos!$I$8+(O149-Datos!$F$9)*Datos!$J$6,IF(O149&gt;=Datos!$F$10,(Datos!$I$8+Datos!$J$8)+(O149-Datos!$F$10)*Datos!$K$6))))-W149</f>
        <v>5681.3249166666656</v>
      </c>
      <c r="Q149" s="231">
        <v>7315.14</v>
      </c>
      <c r="R149" s="234"/>
      <c r="S149" s="234"/>
      <c r="T149" s="234"/>
      <c r="U149" s="234"/>
      <c r="V149" s="234">
        <v>25</v>
      </c>
      <c r="W149" s="231"/>
      <c r="X149" s="234">
        <f t="shared" si="10"/>
        <v>17256.718666666668</v>
      </c>
      <c r="Y149" s="234">
        <f t="shared" ref="Y149:Y214" si="16">+K149-X149</f>
        <v>54405.781333333332</v>
      </c>
      <c r="Z149" s="296" t="s">
        <v>170</v>
      </c>
      <c r="AA149" s="298">
        <v>44197</v>
      </c>
      <c r="AB149" s="235"/>
      <c r="AC149" s="264"/>
    </row>
    <row r="150" spans="1:29" s="236" customFormat="1" x14ac:dyDescent="0.25">
      <c r="A150" s="232"/>
      <c r="B150" s="302">
        <v>144</v>
      </c>
      <c r="C150" s="295" t="s">
        <v>1469</v>
      </c>
      <c r="D150" s="297" t="s">
        <v>1377</v>
      </c>
      <c r="E150" s="232" t="s">
        <v>86</v>
      </c>
      <c r="F150" s="232" t="s">
        <v>87</v>
      </c>
      <c r="G150" s="295">
        <v>5</v>
      </c>
      <c r="H150" s="296" t="s">
        <v>1210</v>
      </c>
      <c r="I150" s="297" t="s">
        <v>1061</v>
      </c>
      <c r="J150" s="232" t="s">
        <v>1304</v>
      </c>
      <c r="K150" s="233">
        <v>60000</v>
      </c>
      <c r="L150" s="284">
        <f>IF(K150&gt;=Datos!$D$14,(Datos!$D$14*Datos!$C$14),IF(K150&lt;=Datos!$D$14,(K150*Datos!$C$14)))</f>
        <v>1722</v>
      </c>
      <c r="M150" s="284">
        <f>IF(K150&gt;=Datos!$D$15,(Datos!$D$15*Datos!$C$15),IF(K150&lt;=Datos!$D$15,(K150*Datos!$C$15)))</f>
        <v>1824</v>
      </c>
      <c r="N150" s="231"/>
      <c r="O150" s="231">
        <f t="shared" si="11"/>
        <v>56454</v>
      </c>
      <c r="P150" s="223">
        <f>IF(O150&lt;=Datos!$G$7,"0",IF(O150&lt;=Datos!$G$8,(O150-Datos!$F$8)*Datos!$I$6,IF(O150&lt;=Datos!$G$9,Datos!$I$8+(O150-Datos!$F$9)*Datos!$J$6,IF(O150&gt;=Datos!$F$10,(Datos!$I$8+Datos!$J$8)+(O150-Datos!$F$10)*Datos!$K$6))))-W150</f>
        <v>3486.6756666666661</v>
      </c>
      <c r="Q150" s="231">
        <v>9363.7999999999993</v>
      </c>
      <c r="R150" s="234"/>
      <c r="S150" s="234"/>
      <c r="T150" s="234"/>
      <c r="U150" s="234"/>
      <c r="V150" s="234">
        <v>25</v>
      </c>
      <c r="W150" s="231"/>
      <c r="X150" s="234">
        <f t="shared" ref="X150:X215" si="17">SUM(P150:V150)+(L150+M150+N150)-W150</f>
        <v>16421.475666666665</v>
      </c>
      <c r="Y150" s="234">
        <f t="shared" si="16"/>
        <v>43578.524333333335</v>
      </c>
      <c r="Z150" s="296">
        <v>9606252891</v>
      </c>
      <c r="AA150" s="298">
        <v>45200</v>
      </c>
      <c r="AB150" s="235"/>
      <c r="AC150" s="264"/>
    </row>
    <row r="151" spans="1:29" s="236" customFormat="1" x14ac:dyDescent="0.25">
      <c r="A151" s="232"/>
      <c r="B151" s="302">
        <v>145</v>
      </c>
      <c r="C151" s="295" t="s">
        <v>984</v>
      </c>
      <c r="D151" s="232" t="s">
        <v>985</v>
      </c>
      <c r="E151" s="232" t="s">
        <v>86</v>
      </c>
      <c r="F151" s="232" t="s">
        <v>87</v>
      </c>
      <c r="G151" s="295">
        <v>1</v>
      </c>
      <c r="H151" s="296" t="s">
        <v>1769</v>
      </c>
      <c r="I151" s="297" t="s">
        <v>1062</v>
      </c>
      <c r="J151" s="232" t="s">
        <v>861</v>
      </c>
      <c r="K151" s="233">
        <f>16500+3500</f>
        <v>20000</v>
      </c>
      <c r="L151" s="284">
        <f>IF(K151&gt;=Datos!$D$14,(Datos!$D$14*Datos!$C$14),IF(K151&lt;=Datos!$D$14,(K151*Datos!$C$14)))</f>
        <v>574</v>
      </c>
      <c r="M151" s="284">
        <f>IF(K151&gt;=Datos!$D$15,(Datos!$D$15*Datos!$C$15),IF(K151&lt;=Datos!$D$15,(K151*Datos!$C$15)))</f>
        <v>608</v>
      </c>
      <c r="N151" s="231"/>
      <c r="O151" s="231">
        <f t="shared" si="11"/>
        <v>18818</v>
      </c>
      <c r="P151" s="223">
        <f>IF(O151&lt;=Datos!$G$7,"0",IF(O151&lt;=Datos!$G$8,(O151-Datos!$F$8)*Datos!$I$6,IF(O151&lt;=Datos!$G$9,Datos!$I$8+(O151-Datos!$F$9)*Datos!$J$6,IF(O151&gt;=Datos!$F$10,(Datos!$I$8+Datos!$J$8)+(O151-Datos!$F$10)*Datos!$K$6))))-W151</f>
        <v>0</v>
      </c>
      <c r="Q151" s="231">
        <f>IFERROR(VLOOKUP(C151,[1]Hoja1!$D$5:$E$58,2,FALSE),0)</f>
        <v>0</v>
      </c>
      <c r="R151" s="234"/>
      <c r="S151" s="234"/>
      <c r="T151" s="234"/>
      <c r="U151" s="234"/>
      <c r="V151" s="234">
        <v>25</v>
      </c>
      <c r="W151" s="231"/>
      <c r="X151" s="234">
        <f t="shared" si="17"/>
        <v>1207</v>
      </c>
      <c r="Y151" s="234">
        <f t="shared" si="16"/>
        <v>18793</v>
      </c>
      <c r="Z151" s="296"/>
      <c r="AA151" s="298">
        <v>44713</v>
      </c>
      <c r="AB151" s="235"/>
      <c r="AC151" s="264"/>
    </row>
    <row r="152" spans="1:29" s="236" customFormat="1" x14ac:dyDescent="0.25">
      <c r="A152" s="232"/>
      <c r="B152" s="302">
        <v>146</v>
      </c>
      <c r="C152" s="295" t="s">
        <v>411</v>
      </c>
      <c r="D152" s="232" t="s">
        <v>652</v>
      </c>
      <c r="E152" s="232" t="s">
        <v>86</v>
      </c>
      <c r="F152" s="232" t="s">
        <v>87</v>
      </c>
      <c r="G152" s="295">
        <v>1</v>
      </c>
      <c r="H152" s="296" t="s">
        <v>1548</v>
      </c>
      <c r="I152" s="297" t="s">
        <v>1062</v>
      </c>
      <c r="J152" s="232" t="s">
        <v>852</v>
      </c>
      <c r="K152" s="233">
        <f>12000+6000</f>
        <v>18000</v>
      </c>
      <c r="L152" s="284">
        <f>IF(K152&gt;=Datos!$D$14,(Datos!$D$14*Datos!$C$14),IF(K152&lt;=Datos!$D$14,(K152*Datos!$C$14)))</f>
        <v>516.6</v>
      </c>
      <c r="M152" s="284">
        <f>IF(K152&gt;=Datos!$D$15,(Datos!$D$15*Datos!$C$15),IF(K152&lt;=Datos!$D$15,(K152*Datos!$C$15)))</f>
        <v>547.20000000000005</v>
      </c>
      <c r="N152" s="231"/>
      <c r="O152" s="231">
        <f t="shared" si="11"/>
        <v>16936.2</v>
      </c>
      <c r="P152" s="223">
        <f>IF(O152&lt;=Datos!$G$7,"0",IF(O152&lt;=Datos!$G$8,(O152-Datos!$F$8)*Datos!$I$6,IF(O152&lt;=Datos!$G$9,Datos!$I$8+(O152-Datos!$F$9)*Datos!$J$6,IF(O152&gt;=Datos!$F$10,(Datos!$I$8+Datos!$J$8)+(O152-Datos!$F$10)*Datos!$K$6))))-W152</f>
        <v>0</v>
      </c>
      <c r="Q152" s="231">
        <f>IFERROR(VLOOKUP(C152,[1]Hoja1!$D$5:$E$58,2,FALSE),0)</f>
        <v>0</v>
      </c>
      <c r="R152" s="234"/>
      <c r="S152" s="234"/>
      <c r="T152" s="234"/>
      <c r="U152" s="234"/>
      <c r="V152" s="234">
        <v>25</v>
      </c>
      <c r="W152" s="231"/>
      <c r="X152" s="234">
        <f t="shared" si="17"/>
        <v>1088.8000000000002</v>
      </c>
      <c r="Y152" s="234">
        <f t="shared" si="16"/>
        <v>16911.2</v>
      </c>
      <c r="Z152" s="296" t="s">
        <v>171</v>
      </c>
      <c r="AA152" s="298">
        <v>44197</v>
      </c>
      <c r="AB152" s="235"/>
      <c r="AC152" s="264"/>
    </row>
    <row r="153" spans="1:29" s="236" customFormat="1" x14ac:dyDescent="0.25">
      <c r="A153" s="232"/>
      <c r="B153" s="302">
        <v>147</v>
      </c>
      <c r="C153" s="295" t="s">
        <v>413</v>
      </c>
      <c r="D153" s="232" t="s">
        <v>654</v>
      </c>
      <c r="E153" s="232" t="s">
        <v>85</v>
      </c>
      <c r="F153" s="232" t="s">
        <v>87</v>
      </c>
      <c r="G153" s="295">
        <v>5</v>
      </c>
      <c r="H153" s="296" t="s">
        <v>1210</v>
      </c>
      <c r="I153" s="297" t="s">
        <v>1062</v>
      </c>
      <c r="J153" s="232" t="s">
        <v>837</v>
      </c>
      <c r="K153" s="233">
        <f>45500+19500</f>
        <v>65000</v>
      </c>
      <c r="L153" s="284">
        <f>IF(K153&gt;=Datos!$D$14,(Datos!$D$14*Datos!$C$14),IF(K153&lt;=Datos!$D$14,(K153*Datos!$C$14)))</f>
        <v>1865.5</v>
      </c>
      <c r="M153" s="284">
        <f>IF(K153&gt;=Datos!$D$15,(Datos!$D$15*Datos!$C$15),IF(K153&lt;=Datos!$D$15,(K153*Datos!$C$15)))</f>
        <v>1976</v>
      </c>
      <c r="N153" s="231"/>
      <c r="O153" s="231">
        <f t="shared" si="11"/>
        <v>61158.5</v>
      </c>
      <c r="P153" s="223">
        <f>IF(O153&lt;=Datos!$G$7,"0",IF(O153&lt;=Datos!$G$8,(O153-Datos!$F$8)*Datos!$I$6,IF(O153&lt;=Datos!$G$9,Datos!$I$8+(O153-Datos!$F$9)*Datos!$J$6,IF(O153&gt;=Datos!$F$10,(Datos!$I$8+Datos!$J$8)+(O153-Datos!$F$10)*Datos!$K$6))))-W153</f>
        <v>4427.5756666666657</v>
      </c>
      <c r="Q153" s="231">
        <f>IFERROR(VLOOKUP(C153,[1]Hoja1!$D$5:$E$58,2,FALSE),0)</f>
        <v>0</v>
      </c>
      <c r="R153" s="234"/>
      <c r="S153" s="234"/>
      <c r="T153" s="234"/>
      <c r="U153" s="234"/>
      <c r="V153" s="234">
        <v>25</v>
      </c>
      <c r="W153" s="231"/>
      <c r="X153" s="234">
        <f t="shared" si="17"/>
        <v>8294.0756666666657</v>
      </c>
      <c r="Y153" s="234">
        <f t="shared" si="16"/>
        <v>56705.924333333336</v>
      </c>
      <c r="Z153" s="296" t="s">
        <v>173</v>
      </c>
      <c r="AA153" s="298">
        <v>44197</v>
      </c>
      <c r="AB153" s="235"/>
      <c r="AC153" s="264"/>
    </row>
    <row r="154" spans="1:29" s="236" customFormat="1" x14ac:dyDescent="0.25">
      <c r="A154" s="232"/>
      <c r="B154" s="302">
        <v>148</v>
      </c>
      <c r="C154" s="295" t="s">
        <v>1858</v>
      </c>
      <c r="D154" s="232" t="s">
        <v>1859</v>
      </c>
      <c r="E154" s="232" t="s">
        <v>85</v>
      </c>
      <c r="F154" s="232" t="s">
        <v>87</v>
      </c>
      <c r="G154" s="295">
        <v>5</v>
      </c>
      <c r="H154" s="296" t="s">
        <v>1210</v>
      </c>
      <c r="I154" s="297" t="s">
        <v>1067</v>
      </c>
      <c r="J154" s="232" t="s">
        <v>1336</v>
      </c>
      <c r="K154" s="233">
        <v>60000</v>
      </c>
      <c r="L154" s="284">
        <f>IF(K154&gt;=Datos!$D$14,(Datos!$D$14*Datos!$C$14),IF(K154&lt;=Datos!$D$14,(K154*Datos!$C$14)))</f>
        <v>1722</v>
      </c>
      <c r="M154" s="284">
        <f>IF(K154&gt;=Datos!$D$15,(Datos!$D$15*Datos!$C$15),IF(K154&lt;=Datos!$D$15,(K154*Datos!$C$15)))</f>
        <v>1824</v>
      </c>
      <c r="N154" s="231"/>
      <c r="O154" s="231">
        <f t="shared" ref="O154" si="18">K154-(L154+M154+N154)</f>
        <v>56454</v>
      </c>
      <c r="P154" s="223">
        <f>IF(O154&lt;=Datos!$G$7,"0",IF(O154&lt;=Datos!$G$8,(O154-Datos!$F$8)*Datos!$I$6,IF(O154&lt;=Datos!$G$9,Datos!$I$8+(O154-Datos!$F$9)*Datos!$J$6,IF(O154&gt;=Datos!$F$10,(Datos!$I$8+Datos!$J$8)+(O154-Datos!$F$10)*Datos!$K$6))))-W154</f>
        <v>3486.6756666666661</v>
      </c>
      <c r="Q154" s="231"/>
      <c r="R154" s="234"/>
      <c r="S154" s="234"/>
      <c r="T154" s="234"/>
      <c r="U154" s="234"/>
      <c r="V154" s="234">
        <v>25</v>
      </c>
      <c r="W154" s="231"/>
      <c r="X154" s="234">
        <f t="shared" ref="X154" si="19">SUM(P154:V154)+(L154+M154+N154)-W154</f>
        <v>7057.6756666666661</v>
      </c>
      <c r="Y154" s="234">
        <f t="shared" ref="Y154" si="20">+K154-X154</f>
        <v>52942.324333333338</v>
      </c>
      <c r="Z154" s="296">
        <v>9607759049</v>
      </c>
      <c r="AA154" s="298">
        <v>45627</v>
      </c>
      <c r="AB154" s="235"/>
      <c r="AC154" s="264"/>
    </row>
    <row r="155" spans="1:29" s="236" customFormat="1" x14ac:dyDescent="0.25">
      <c r="A155" s="232"/>
      <c r="B155" s="302">
        <v>149</v>
      </c>
      <c r="C155" s="295" t="s">
        <v>414</v>
      </c>
      <c r="D155" s="232" t="s">
        <v>655</v>
      </c>
      <c r="E155" s="232" t="s">
        <v>85</v>
      </c>
      <c r="F155" s="232" t="s">
        <v>87</v>
      </c>
      <c r="G155" s="295">
        <v>1</v>
      </c>
      <c r="H155" s="296" t="s">
        <v>1548</v>
      </c>
      <c r="I155" s="297" t="s">
        <v>1061</v>
      </c>
      <c r="J155" s="232" t="s">
        <v>833</v>
      </c>
      <c r="K155" s="233">
        <f>13860+4140</f>
        <v>18000</v>
      </c>
      <c r="L155" s="284">
        <f>IF(K155&gt;=Datos!$D$14,(Datos!$D$14*Datos!$C$14),IF(K155&lt;=Datos!$D$14,(K155*Datos!$C$14)))</f>
        <v>516.6</v>
      </c>
      <c r="M155" s="284">
        <f>IF(K155&gt;=Datos!$D$15,(Datos!$D$15*Datos!$C$15),IF(K155&lt;=Datos!$D$15,(K155*Datos!$C$15)))</f>
        <v>547.20000000000005</v>
      </c>
      <c r="N155" s="231"/>
      <c r="O155" s="231">
        <f t="shared" si="11"/>
        <v>16936.2</v>
      </c>
      <c r="P155" s="223">
        <f>IF(O155&lt;=Datos!$G$7,"0",IF(O155&lt;=Datos!$G$8,(O155-Datos!$F$8)*Datos!$I$6,IF(O155&lt;=Datos!$G$9,Datos!$I$8+(O155-Datos!$F$9)*Datos!$J$6,IF(O155&gt;=Datos!$F$10,(Datos!$I$8+Datos!$J$8)+(O155-Datos!$F$10)*Datos!$K$6))))-W155</f>
        <v>0</v>
      </c>
      <c r="Q155" s="231">
        <v>4345.13</v>
      </c>
      <c r="R155" s="234"/>
      <c r="S155" s="234"/>
      <c r="T155" s="234"/>
      <c r="U155" s="234"/>
      <c r="V155" s="234">
        <v>25</v>
      </c>
      <c r="W155" s="231"/>
      <c r="X155" s="234">
        <f t="shared" si="17"/>
        <v>5433.93</v>
      </c>
      <c r="Y155" s="234">
        <f t="shared" si="16"/>
        <v>12566.07</v>
      </c>
      <c r="Z155" s="296" t="s">
        <v>174</v>
      </c>
      <c r="AA155" s="298">
        <v>44197</v>
      </c>
      <c r="AB155" s="235"/>
      <c r="AC155" s="264"/>
    </row>
    <row r="156" spans="1:29" s="236" customFormat="1" x14ac:dyDescent="0.25">
      <c r="A156" s="232"/>
      <c r="B156" s="302">
        <v>150</v>
      </c>
      <c r="C156" s="295" t="s">
        <v>416</v>
      </c>
      <c r="D156" s="232" t="s">
        <v>657</v>
      </c>
      <c r="E156" s="232" t="s">
        <v>86</v>
      </c>
      <c r="F156" s="232" t="s">
        <v>87</v>
      </c>
      <c r="G156" s="295">
        <v>5</v>
      </c>
      <c r="H156" s="296" t="s">
        <v>1662</v>
      </c>
      <c r="I156" s="297" t="s">
        <v>1062</v>
      </c>
      <c r="J156" s="232" t="s">
        <v>837</v>
      </c>
      <c r="K156" s="233">
        <v>67567.5</v>
      </c>
      <c r="L156" s="284">
        <f>IF(K156&gt;=Datos!$D$14,(Datos!$D$14*Datos!$C$14),IF(K156&lt;=Datos!$D$14,(K156*Datos!$C$14)))</f>
        <v>1939.1872499999999</v>
      </c>
      <c r="M156" s="284">
        <f>IF(K156&gt;=Datos!$D$15,(Datos!$D$15*Datos!$C$15),IF(K156&lt;=Datos!$D$15,(K156*Datos!$C$15)))</f>
        <v>2054.0520000000001</v>
      </c>
      <c r="N156" s="231">
        <v>1715.46</v>
      </c>
      <c r="O156" s="231">
        <f t="shared" si="11"/>
        <v>61858.800750000002</v>
      </c>
      <c r="P156" s="223">
        <f>IF(O156&lt;=Datos!$G$7,"0",IF(O156&lt;=Datos!$G$8,(O156-Datos!$F$8)*Datos!$I$6,IF(O156&lt;=Datos!$G$9,Datos!$I$8+(O156-Datos!$F$9)*Datos!$J$6,IF(O156&gt;=Datos!$F$10,(Datos!$I$8+Datos!$J$8)+(O156-Datos!$F$10)*Datos!$K$6))))-W156</f>
        <v>4567.6358166666669</v>
      </c>
      <c r="Q156" s="231">
        <f>IFERROR(VLOOKUP(C156,[1]Hoja1!$D$5:$E$58,2,FALSE),0)</f>
        <v>0</v>
      </c>
      <c r="R156" s="234"/>
      <c r="S156" s="234"/>
      <c r="T156" s="234"/>
      <c r="U156" s="234"/>
      <c r="V156" s="234">
        <v>25</v>
      </c>
      <c r="W156" s="231"/>
      <c r="X156" s="234">
        <f t="shared" si="17"/>
        <v>10301.335066666667</v>
      </c>
      <c r="Y156" s="234">
        <f t="shared" si="16"/>
        <v>57266.164933333333</v>
      </c>
      <c r="Z156" s="296" t="s">
        <v>176</v>
      </c>
      <c r="AA156" s="298">
        <v>44197</v>
      </c>
      <c r="AB156" s="235"/>
      <c r="AC156" s="264"/>
    </row>
    <row r="157" spans="1:29" s="236" customFormat="1" x14ac:dyDescent="0.25">
      <c r="A157" s="232"/>
      <c r="B157" s="302">
        <v>151</v>
      </c>
      <c r="C157" s="295" t="s">
        <v>417</v>
      </c>
      <c r="D157" s="232" t="s">
        <v>658</v>
      </c>
      <c r="E157" s="232" t="s">
        <v>85</v>
      </c>
      <c r="F157" s="232" t="s">
        <v>87</v>
      </c>
      <c r="G157" s="295">
        <v>5</v>
      </c>
      <c r="H157" s="296" t="s">
        <v>1210</v>
      </c>
      <c r="I157" s="297" t="s">
        <v>1062</v>
      </c>
      <c r="J157" s="232" t="s">
        <v>1563</v>
      </c>
      <c r="K157" s="233">
        <v>60000</v>
      </c>
      <c r="L157" s="284">
        <f>IF(K157&gt;=Datos!$D$14,(Datos!$D$14*Datos!$C$14),IF(K157&lt;=Datos!$D$14,(K157*Datos!$C$14)))</f>
        <v>1722</v>
      </c>
      <c r="M157" s="284">
        <f>IF(K157&gt;=Datos!$D$15,(Datos!$D$15*Datos!$C$15),IF(K157&lt;=Datos!$D$15,(K157*Datos!$C$15)))</f>
        <v>1824</v>
      </c>
      <c r="N157" s="231"/>
      <c r="O157" s="231">
        <f t="shared" ref="O157:O229" si="21">K157-(L157+M157+N157)</f>
        <v>56454</v>
      </c>
      <c r="P157" s="223">
        <f>IF(O157&lt;=Datos!$G$7,"0",IF(O157&lt;=Datos!$G$8,(O157-Datos!$F$8)*Datos!$I$6,IF(O157&lt;=Datos!$G$9,Datos!$I$8+(O157-Datos!$F$9)*Datos!$J$6,IF(O157&gt;=Datos!$F$10,(Datos!$I$8+Datos!$J$8)+(O157-Datos!$F$10)*Datos!$K$6))))-W157</f>
        <v>3486.6756666666661</v>
      </c>
      <c r="Q157" s="231">
        <f>IFERROR(VLOOKUP(C157,[1]Hoja1!$D$5:$E$58,2,FALSE),0)</f>
        <v>1500</v>
      </c>
      <c r="R157" s="234"/>
      <c r="S157" s="234"/>
      <c r="T157" s="234"/>
      <c r="U157" s="234"/>
      <c r="V157" s="234">
        <v>25</v>
      </c>
      <c r="W157" s="231"/>
      <c r="X157" s="234">
        <f t="shared" si="17"/>
        <v>8557.6756666666661</v>
      </c>
      <c r="Y157" s="234">
        <f t="shared" si="16"/>
        <v>51442.324333333338</v>
      </c>
      <c r="Z157" s="296" t="s">
        <v>177</v>
      </c>
      <c r="AA157" s="298">
        <v>44349</v>
      </c>
      <c r="AB157" s="235"/>
      <c r="AC157" s="264"/>
    </row>
    <row r="158" spans="1:29" s="236" customFormat="1" x14ac:dyDescent="0.25">
      <c r="A158" s="232"/>
      <c r="B158" s="302">
        <v>152</v>
      </c>
      <c r="C158" s="295" t="s">
        <v>1639</v>
      </c>
      <c r="D158" s="232" t="s">
        <v>1640</v>
      </c>
      <c r="E158" s="232" t="s">
        <v>85</v>
      </c>
      <c r="F158" s="232" t="s">
        <v>87</v>
      </c>
      <c r="G158" s="295">
        <v>5</v>
      </c>
      <c r="H158" s="296" t="s">
        <v>1662</v>
      </c>
      <c r="I158" s="297" t="s">
        <v>1067</v>
      </c>
      <c r="J158" s="232" t="s">
        <v>1520</v>
      </c>
      <c r="K158" s="233">
        <v>35000</v>
      </c>
      <c r="L158" s="284">
        <f>IF(K158&gt;=Datos!$D$14,(Datos!$D$14*Datos!$C$14),IF(K158&lt;=Datos!$D$14,(K158*Datos!$C$14)))</f>
        <v>1004.5</v>
      </c>
      <c r="M158" s="284">
        <f>IF(K158&gt;=Datos!$D$15,(Datos!$D$15*Datos!$C$15),IF(K158&lt;=Datos!$D$15,(K158*Datos!$C$15)))</f>
        <v>1064</v>
      </c>
      <c r="N158" s="231"/>
      <c r="O158" s="231">
        <f t="shared" si="21"/>
        <v>32931.5</v>
      </c>
      <c r="P158" s="223">
        <f>IF(O158&lt;=Datos!$G$7,"0",IF(O158&lt;=Datos!$G$8,(O158-Datos!$F$8)*Datos!$I$6,IF(O158&lt;=Datos!$G$9,Datos!$I$8+(O158-Datos!$F$9)*Datos!$J$6,IF(O158&gt;=Datos!$F$10,(Datos!$I$8+Datos!$J$8)+(O158-Datos!$F$10)*Datos!$K$6))))-W158</f>
        <v>0</v>
      </c>
      <c r="Q158" s="231">
        <v>0</v>
      </c>
      <c r="R158" s="234"/>
      <c r="S158" s="234"/>
      <c r="T158" s="234"/>
      <c r="U158" s="234"/>
      <c r="V158" s="234">
        <v>25</v>
      </c>
      <c r="W158" s="231"/>
      <c r="X158" s="234">
        <f t="shared" si="17"/>
        <v>2093.5</v>
      </c>
      <c r="Y158" s="234">
        <f t="shared" si="16"/>
        <v>32906.5</v>
      </c>
      <c r="Z158" s="296">
        <v>9607405801</v>
      </c>
      <c r="AA158" s="298">
        <v>45536</v>
      </c>
      <c r="AB158" s="235"/>
      <c r="AC158" s="264"/>
    </row>
    <row r="159" spans="1:29" s="236" customFormat="1" x14ac:dyDescent="0.25">
      <c r="A159" s="232"/>
      <c r="B159" s="302">
        <v>153</v>
      </c>
      <c r="C159" s="295" t="s">
        <v>419</v>
      </c>
      <c r="D159" s="232" t="s">
        <v>660</v>
      </c>
      <c r="E159" s="232" t="s">
        <v>85</v>
      </c>
      <c r="F159" s="232" t="s">
        <v>87</v>
      </c>
      <c r="G159" s="295">
        <v>5</v>
      </c>
      <c r="H159" s="296" t="s">
        <v>1662</v>
      </c>
      <c r="I159" s="297" t="s">
        <v>1060</v>
      </c>
      <c r="J159" s="232" t="s">
        <v>1525</v>
      </c>
      <c r="K159" s="233">
        <f>50000+10000</f>
        <v>60000</v>
      </c>
      <c r="L159" s="284">
        <f>IF(K159&gt;=Datos!$D$14,(Datos!$D$14*Datos!$C$14),IF(K159&lt;=Datos!$D$14,(K159*Datos!$C$14)))</f>
        <v>1722</v>
      </c>
      <c r="M159" s="284">
        <f>IF(K159&gt;=Datos!$D$15,(Datos!$D$15*Datos!$C$15),IF(K159&lt;=Datos!$D$15,(K159*Datos!$C$15)))</f>
        <v>1824</v>
      </c>
      <c r="N159" s="231"/>
      <c r="O159" s="231">
        <f t="shared" si="21"/>
        <v>56454</v>
      </c>
      <c r="P159" s="223">
        <f>IF(O159&lt;=Datos!$G$7,"0",IF(O159&lt;=Datos!$G$8,(O159-Datos!$F$8)*Datos!$I$6,IF(O159&lt;=Datos!$G$9,Datos!$I$8+(O159-Datos!$F$9)*Datos!$J$6,IF(O159&gt;=Datos!$F$10,(Datos!$I$8+Datos!$J$8)+(O159-Datos!$F$10)*Datos!$K$6))))-W159</f>
        <v>3486.6756666666661</v>
      </c>
      <c r="Q159" s="231">
        <f>IFERROR(VLOOKUP(C159,[1]Hoja1!$D$5:$E$58,2,FALSE),0)</f>
        <v>0</v>
      </c>
      <c r="R159" s="234"/>
      <c r="S159" s="234"/>
      <c r="T159" s="234"/>
      <c r="U159" s="234"/>
      <c r="V159" s="234">
        <v>25</v>
      </c>
      <c r="W159" s="231"/>
      <c r="X159" s="234">
        <f t="shared" si="17"/>
        <v>7057.6756666666661</v>
      </c>
      <c r="Y159" s="234">
        <f t="shared" si="16"/>
        <v>52942.324333333338</v>
      </c>
      <c r="Z159" s="296" t="s">
        <v>179</v>
      </c>
      <c r="AA159" s="298">
        <v>44349</v>
      </c>
      <c r="AB159" s="235"/>
      <c r="AC159" s="264"/>
    </row>
    <row r="160" spans="1:29" s="236" customFormat="1" x14ac:dyDescent="0.25">
      <c r="A160" s="232"/>
      <c r="B160" s="302">
        <v>154</v>
      </c>
      <c r="C160" s="295" t="s">
        <v>420</v>
      </c>
      <c r="D160" s="232" t="s">
        <v>661</v>
      </c>
      <c r="E160" s="232" t="s">
        <v>85</v>
      </c>
      <c r="F160" s="232" t="s">
        <v>87</v>
      </c>
      <c r="G160" s="295">
        <v>5</v>
      </c>
      <c r="H160" s="296" t="s">
        <v>1210</v>
      </c>
      <c r="I160" s="297" t="s">
        <v>1062</v>
      </c>
      <c r="J160" s="232" t="s">
        <v>837</v>
      </c>
      <c r="K160" s="233">
        <v>67567.5</v>
      </c>
      <c r="L160" s="284">
        <f>IF(K160&gt;=Datos!$D$14,(Datos!$D$14*Datos!$C$14),IF(K160&lt;=Datos!$D$14,(K160*Datos!$C$14)))</f>
        <v>1939.1872499999999</v>
      </c>
      <c r="M160" s="284">
        <f>IF(K160&gt;=Datos!$D$15,(Datos!$D$15*Datos!$C$15),IF(K160&lt;=Datos!$D$15,(K160*Datos!$C$15)))</f>
        <v>2054.0520000000001</v>
      </c>
      <c r="N160" s="231">
        <v>1715.46</v>
      </c>
      <c r="O160" s="231">
        <f t="shared" si="21"/>
        <v>61858.800750000002</v>
      </c>
      <c r="P160" s="223">
        <f>IF(O160&lt;=Datos!$G$7,"0",IF(O160&lt;=Datos!$G$8,(O160-Datos!$F$8)*Datos!$I$6,IF(O160&lt;=Datos!$G$9,Datos!$I$8+(O160-Datos!$F$9)*Datos!$J$6,IF(O160&gt;=Datos!$F$10,(Datos!$I$8+Datos!$J$8)+(O160-Datos!$F$10)*Datos!$K$6))))-W160</f>
        <v>4567.6358166666669</v>
      </c>
      <c r="Q160" s="231">
        <f>IFERROR(VLOOKUP(C160,[1]Hoja1!$D$5:$E$58,2,FALSE),0)</f>
        <v>0</v>
      </c>
      <c r="R160" s="234"/>
      <c r="S160" s="234"/>
      <c r="T160" s="234"/>
      <c r="U160" s="234"/>
      <c r="V160" s="234">
        <v>25</v>
      </c>
      <c r="W160" s="231"/>
      <c r="X160" s="234">
        <f t="shared" si="17"/>
        <v>10301.335066666667</v>
      </c>
      <c r="Y160" s="234">
        <f t="shared" si="16"/>
        <v>57266.164933333333</v>
      </c>
      <c r="Z160" s="296" t="s">
        <v>180</v>
      </c>
      <c r="AA160" s="298">
        <v>44197</v>
      </c>
      <c r="AB160" s="235"/>
      <c r="AC160" s="264"/>
    </row>
    <row r="161" spans="1:29" s="236" customFormat="1" x14ac:dyDescent="0.25">
      <c r="A161" s="232"/>
      <c r="B161" s="302">
        <v>155</v>
      </c>
      <c r="C161" s="295" t="s">
        <v>1429</v>
      </c>
      <c r="D161" s="232" t="s">
        <v>1430</v>
      </c>
      <c r="E161" s="232" t="s">
        <v>86</v>
      </c>
      <c r="F161" s="232" t="s">
        <v>87</v>
      </c>
      <c r="G161" s="295">
        <v>4</v>
      </c>
      <c r="H161" s="296" t="s">
        <v>1211</v>
      </c>
      <c r="I161" s="297" t="s">
        <v>1067</v>
      </c>
      <c r="J161" s="232" t="s">
        <v>835</v>
      </c>
      <c r="K161" s="233">
        <v>68250</v>
      </c>
      <c r="L161" s="284">
        <f>IF(K161&gt;=Datos!$D$14,(Datos!$D$14*Datos!$C$14),IF(K161&lt;=Datos!$D$14,(K161*Datos!$C$14)))</f>
        <v>1958.7750000000001</v>
      </c>
      <c r="M161" s="284">
        <f>IF(K161&gt;=Datos!$D$15,(Datos!$D$15*Datos!$C$15),IF(K161&lt;=Datos!$D$15,(K161*Datos!$C$15)))</f>
        <v>2074.8000000000002</v>
      </c>
      <c r="N161" s="231"/>
      <c r="O161" s="231">
        <f t="shared" si="21"/>
        <v>64216.425000000003</v>
      </c>
      <c r="P161" s="223">
        <f>IF(O161&lt;=Datos!$G$7,"0",IF(O161&lt;=Datos!$G$8,(O161-Datos!$F$8)*Datos!$I$6,IF(O161&lt;=Datos!$G$9,Datos!$I$8+(O161-Datos!$F$9)*Datos!$J$6,IF(O161&gt;=Datos!$F$10,(Datos!$I$8+Datos!$J$8)+(O161-Datos!$F$10)*Datos!$K$6))))-W161</f>
        <v>5039.1606666666667</v>
      </c>
      <c r="Q161" s="231">
        <v>0</v>
      </c>
      <c r="R161" s="234"/>
      <c r="S161" s="234"/>
      <c r="T161" s="234"/>
      <c r="U161" s="234"/>
      <c r="V161" s="234">
        <v>25</v>
      </c>
      <c r="W161" s="231"/>
      <c r="X161" s="234">
        <f t="shared" si="17"/>
        <v>9097.7356666666674</v>
      </c>
      <c r="Y161" s="234">
        <f t="shared" si="16"/>
        <v>59152.264333333333</v>
      </c>
      <c r="Z161" s="296">
        <v>9606355145</v>
      </c>
      <c r="AA161" s="298">
        <v>45231</v>
      </c>
      <c r="AB161" s="235"/>
      <c r="AC161" s="264"/>
    </row>
    <row r="162" spans="1:29" s="236" customFormat="1" x14ac:dyDescent="0.25">
      <c r="A162" s="232"/>
      <c r="B162" s="302">
        <v>156</v>
      </c>
      <c r="C162" s="295" t="s">
        <v>421</v>
      </c>
      <c r="D162" s="232" t="s">
        <v>662</v>
      </c>
      <c r="E162" s="232" t="s">
        <v>86</v>
      </c>
      <c r="F162" s="232" t="s">
        <v>87</v>
      </c>
      <c r="G162" s="295">
        <v>5</v>
      </c>
      <c r="H162" s="296" t="s">
        <v>1210</v>
      </c>
      <c r="I162" s="297" t="s">
        <v>1060</v>
      </c>
      <c r="J162" s="232" t="s">
        <v>837</v>
      </c>
      <c r="K162" s="233">
        <f>55179.8+9820.2</f>
        <v>65000</v>
      </c>
      <c r="L162" s="284">
        <f>IF(K162&gt;=Datos!$D$14,(Datos!$D$14*Datos!$C$14),IF(K162&lt;=Datos!$D$14,(K162*Datos!$C$14)))</f>
        <v>1865.5</v>
      </c>
      <c r="M162" s="284">
        <f>IF(K162&gt;=Datos!$D$15,(Datos!$D$15*Datos!$C$15),IF(K162&lt;=Datos!$D$15,(K162*Datos!$C$15)))</f>
        <v>1976</v>
      </c>
      <c r="N162" s="231">
        <f>1715.46*2</f>
        <v>3430.92</v>
      </c>
      <c r="O162" s="231">
        <f t="shared" si="21"/>
        <v>57727.58</v>
      </c>
      <c r="P162" s="223">
        <f>IF(O162&lt;=Datos!$G$7,"0",IF(O162&lt;=Datos!$G$8,(O162-Datos!$F$8)*Datos!$I$6,IF(O162&lt;=Datos!$G$9,Datos!$I$8+(O162-Datos!$F$9)*Datos!$J$6,IF(O162&gt;=Datos!$F$10,(Datos!$I$8+Datos!$J$8)+(O162-Datos!$F$10)*Datos!$K$6))))-W162</f>
        <v>3741.3916666666664</v>
      </c>
      <c r="Q162" s="231">
        <f>IFERROR(VLOOKUP(C162,[1]Hoja1!$D$5:$E$58,2,FALSE),0)</f>
        <v>0</v>
      </c>
      <c r="R162" s="234"/>
      <c r="S162" s="234"/>
      <c r="T162" s="234"/>
      <c r="U162" s="234"/>
      <c r="V162" s="234">
        <v>25</v>
      </c>
      <c r="W162" s="231"/>
      <c r="X162" s="234">
        <f t="shared" si="17"/>
        <v>11038.811666666666</v>
      </c>
      <c r="Y162" s="234">
        <f t="shared" si="16"/>
        <v>53961.188333333332</v>
      </c>
      <c r="Z162" s="296" t="s">
        <v>181</v>
      </c>
      <c r="AA162" s="298">
        <v>44197</v>
      </c>
      <c r="AB162" s="235"/>
      <c r="AC162" s="264"/>
    </row>
    <row r="163" spans="1:29" s="236" customFormat="1" x14ac:dyDescent="0.25">
      <c r="A163" s="232"/>
      <c r="B163" s="302">
        <v>157</v>
      </c>
      <c r="C163" s="295" t="s">
        <v>422</v>
      </c>
      <c r="D163" s="232" t="s">
        <v>663</v>
      </c>
      <c r="E163" s="232" t="s">
        <v>85</v>
      </c>
      <c r="F163" s="232" t="s">
        <v>87</v>
      </c>
      <c r="G163" s="295">
        <v>5</v>
      </c>
      <c r="H163" s="296" t="s">
        <v>1210</v>
      </c>
      <c r="I163" s="297" t="s">
        <v>1062</v>
      </c>
      <c r="J163" s="232" t="s">
        <v>837</v>
      </c>
      <c r="K163" s="233">
        <v>67567.5</v>
      </c>
      <c r="L163" s="284">
        <f>IF(K163&gt;=Datos!$D$14,(Datos!$D$14*Datos!$C$14),IF(K163&lt;=Datos!$D$14,(K163*Datos!$C$14)))</f>
        <v>1939.1872499999999</v>
      </c>
      <c r="M163" s="284">
        <f>IF(K163&gt;=Datos!$D$15,(Datos!$D$15*Datos!$C$15),IF(K163&lt;=Datos!$D$15,(K163*Datos!$C$15)))</f>
        <v>2054.0520000000001</v>
      </c>
      <c r="N163" s="231"/>
      <c r="O163" s="231">
        <f t="shared" si="21"/>
        <v>63574.260750000001</v>
      </c>
      <c r="P163" s="223">
        <f>IF(O163&lt;=Datos!$G$7,"0",IF(O163&lt;=Datos!$G$8,(O163-Datos!$F$8)*Datos!$I$6,IF(O163&lt;=Datos!$G$9,Datos!$I$8+(O163-Datos!$F$9)*Datos!$J$6,IF(O163&gt;=Datos!$F$10,(Datos!$I$8+Datos!$J$8)+(O163-Datos!$F$10)*Datos!$K$6))))-W163</f>
        <v>4910.7278166666665</v>
      </c>
      <c r="Q163" s="231">
        <f>IFERROR(VLOOKUP(C163,[1]Hoja1!$D$5:$E$58,2,FALSE),0)</f>
        <v>0</v>
      </c>
      <c r="R163" s="234"/>
      <c r="S163" s="234"/>
      <c r="T163" s="234"/>
      <c r="U163" s="234"/>
      <c r="V163" s="234">
        <v>25</v>
      </c>
      <c r="W163" s="231"/>
      <c r="X163" s="234">
        <f t="shared" si="17"/>
        <v>8928.9670666666661</v>
      </c>
      <c r="Y163" s="234">
        <f t="shared" si="16"/>
        <v>58638.532933333336</v>
      </c>
      <c r="Z163" s="296" t="s">
        <v>182</v>
      </c>
      <c r="AA163" s="298">
        <v>44197</v>
      </c>
      <c r="AB163" s="235"/>
      <c r="AC163" s="264"/>
    </row>
    <row r="164" spans="1:29" s="236" customFormat="1" x14ac:dyDescent="0.25">
      <c r="A164" s="232"/>
      <c r="B164" s="302">
        <v>158</v>
      </c>
      <c r="C164" s="295" t="s">
        <v>1261</v>
      </c>
      <c r="D164" s="297" t="s">
        <v>1262</v>
      </c>
      <c r="E164" s="232" t="s">
        <v>85</v>
      </c>
      <c r="F164" s="232" t="s">
        <v>87</v>
      </c>
      <c r="G164" s="295">
        <v>5</v>
      </c>
      <c r="H164" s="296" t="s">
        <v>1210</v>
      </c>
      <c r="I164" s="297" t="s">
        <v>1067</v>
      </c>
      <c r="J164" s="232" t="s">
        <v>1263</v>
      </c>
      <c r="K164" s="233">
        <v>60000</v>
      </c>
      <c r="L164" s="284">
        <f>IF(K164&gt;=Datos!$D$14,(Datos!$D$14*Datos!$C$14),IF(K164&lt;=Datos!$D$14,(K164*Datos!$C$14)))</f>
        <v>1722</v>
      </c>
      <c r="M164" s="284">
        <f>IF(K164&gt;=Datos!$D$15,(Datos!$D$15*Datos!$C$15),IF(K164&lt;=Datos!$D$15,(K164*Datos!$C$15)))</f>
        <v>1824</v>
      </c>
      <c r="N164" s="231"/>
      <c r="O164" s="231">
        <f t="shared" si="21"/>
        <v>56454</v>
      </c>
      <c r="P164" s="223">
        <f>IF(O164&lt;=Datos!$G$7,"0",IF(O164&lt;=Datos!$G$8,(O164-Datos!$F$8)*Datos!$I$6,IF(O164&lt;=Datos!$G$9,Datos!$I$8+(O164-Datos!$F$9)*Datos!$J$6,IF(O164&gt;=Datos!$F$10,(Datos!$I$8+Datos!$J$8)+(O164-Datos!$F$10)*Datos!$K$6))))-W164</f>
        <v>3486.6756666666661</v>
      </c>
      <c r="Q164" s="231">
        <f>IFERROR(VLOOKUP(C164,[1]Hoja1!$D$5:$E$58,2,FALSE),0)</f>
        <v>0</v>
      </c>
      <c r="R164" s="234"/>
      <c r="S164" s="234"/>
      <c r="T164" s="234"/>
      <c r="U164" s="234"/>
      <c r="V164" s="234">
        <v>25</v>
      </c>
      <c r="W164" s="231"/>
      <c r="X164" s="234">
        <f t="shared" si="17"/>
        <v>7057.6756666666661</v>
      </c>
      <c r="Y164" s="234">
        <f t="shared" si="16"/>
        <v>52942.324333333338</v>
      </c>
      <c r="Z164" s="296" t="s">
        <v>1264</v>
      </c>
      <c r="AA164" s="298">
        <v>45047</v>
      </c>
      <c r="AB164" s="235"/>
      <c r="AC164" s="264"/>
    </row>
    <row r="165" spans="1:29" s="236" customFormat="1" x14ac:dyDescent="0.25">
      <c r="A165" s="232"/>
      <c r="B165" s="302">
        <v>159</v>
      </c>
      <c r="C165" s="295" t="s">
        <v>1362</v>
      </c>
      <c r="D165" s="297" t="s">
        <v>1373</v>
      </c>
      <c r="E165" s="232" t="s">
        <v>85</v>
      </c>
      <c r="F165" s="232" t="s">
        <v>87</v>
      </c>
      <c r="G165" s="295">
        <v>1</v>
      </c>
      <c r="H165" s="296" t="s">
        <v>1548</v>
      </c>
      <c r="I165" s="297" t="s">
        <v>1067</v>
      </c>
      <c r="J165" s="232" t="s">
        <v>833</v>
      </c>
      <c r="K165" s="233">
        <v>17500</v>
      </c>
      <c r="L165" s="284">
        <f>IF(K165&gt;=Datos!$D$14,(Datos!$D$14*Datos!$C$14),IF(K165&lt;=Datos!$D$14,(K165*Datos!$C$14)))</f>
        <v>502.25</v>
      </c>
      <c r="M165" s="284">
        <f>IF(K165&gt;=Datos!$D$15,(Datos!$D$15*Datos!$C$15),IF(K165&lt;=Datos!$D$15,(K165*Datos!$C$15)))</f>
        <v>532</v>
      </c>
      <c r="N165" s="231"/>
      <c r="O165" s="231">
        <f t="shared" si="21"/>
        <v>16465.75</v>
      </c>
      <c r="P165" s="223">
        <f>IF(O165&lt;=Datos!$G$7,"0",IF(O165&lt;=Datos!$G$8,(O165-Datos!$F$8)*Datos!$I$6,IF(O165&lt;=Datos!$G$9,Datos!$I$8+(O165-Datos!$F$9)*Datos!$J$6,IF(O165&gt;=Datos!$F$10,(Datos!$I$8+Datos!$J$8)+(O165-Datos!$F$10)*Datos!$K$6))))-W165</f>
        <v>0</v>
      </c>
      <c r="Q165" s="231"/>
      <c r="R165" s="234"/>
      <c r="S165" s="234"/>
      <c r="T165" s="234"/>
      <c r="U165" s="234"/>
      <c r="V165" s="234">
        <v>25</v>
      </c>
      <c r="W165" s="231"/>
      <c r="X165" s="234">
        <f t="shared" si="17"/>
        <v>1059.25</v>
      </c>
      <c r="Y165" s="234">
        <f t="shared" si="16"/>
        <v>16440.75</v>
      </c>
      <c r="Z165" s="296">
        <v>9606252887</v>
      </c>
      <c r="AA165" s="298">
        <v>45200</v>
      </c>
      <c r="AB165" s="235"/>
      <c r="AC165" s="264"/>
    </row>
    <row r="166" spans="1:29" s="236" customFormat="1" x14ac:dyDescent="0.25">
      <c r="A166" s="232"/>
      <c r="B166" s="302">
        <v>160</v>
      </c>
      <c r="C166" s="295" t="s">
        <v>1107</v>
      </c>
      <c r="D166" s="232" t="s">
        <v>1076</v>
      </c>
      <c r="E166" s="232" t="s">
        <v>85</v>
      </c>
      <c r="F166" s="232" t="s">
        <v>87</v>
      </c>
      <c r="G166" s="295">
        <v>4</v>
      </c>
      <c r="H166" s="296" t="s">
        <v>1211</v>
      </c>
      <c r="I166" s="297" t="s">
        <v>1060</v>
      </c>
      <c r="J166" s="232" t="s">
        <v>863</v>
      </c>
      <c r="K166" s="233">
        <v>35000</v>
      </c>
      <c r="L166" s="284">
        <f>IF(K166&gt;=Datos!$D$14,(Datos!$D$14*Datos!$C$14),IF(K166&lt;=Datos!$D$14,(K166*Datos!$C$14)))</f>
        <v>1004.5</v>
      </c>
      <c r="M166" s="284">
        <f>IF(K166&gt;=Datos!$D$15,(Datos!$D$15*Datos!$C$15),IF(K166&lt;=Datos!$D$15,(K166*Datos!$C$15)))</f>
        <v>1064</v>
      </c>
      <c r="N166" s="231"/>
      <c r="O166" s="231">
        <f t="shared" si="21"/>
        <v>32931.5</v>
      </c>
      <c r="P166" s="223">
        <f>IF(O166&lt;=Datos!$G$7,"0",IF(O166&lt;=Datos!$G$8,(O166-Datos!$F$8)*Datos!$I$6,IF(O166&lt;=Datos!$G$9,Datos!$I$8+(O166-Datos!$F$9)*Datos!$J$6,IF(O166&gt;=Datos!$F$10,(Datos!$I$8+Datos!$J$8)+(O166-Datos!$F$10)*Datos!$K$6))))-W166</f>
        <v>0</v>
      </c>
      <c r="Q166" s="231">
        <f>IFERROR(VLOOKUP(C166,[1]Hoja1!$D$5:$E$58,2,FALSE),0)</f>
        <v>0</v>
      </c>
      <c r="R166" s="234"/>
      <c r="S166" s="234"/>
      <c r="T166" s="234"/>
      <c r="U166" s="234"/>
      <c r="V166" s="234">
        <v>25</v>
      </c>
      <c r="W166" s="231"/>
      <c r="X166" s="234">
        <f t="shared" si="17"/>
        <v>2093.5</v>
      </c>
      <c r="Y166" s="234">
        <f t="shared" si="16"/>
        <v>32906.5</v>
      </c>
      <c r="Z166" s="296" t="s">
        <v>183</v>
      </c>
      <c r="AA166" s="298">
        <v>44835</v>
      </c>
      <c r="AB166" s="235"/>
      <c r="AC166" s="264"/>
    </row>
    <row r="167" spans="1:29" s="236" customFormat="1" x14ac:dyDescent="0.25">
      <c r="A167" s="232"/>
      <c r="B167" s="302">
        <v>161</v>
      </c>
      <c r="C167" s="295" t="s">
        <v>423</v>
      </c>
      <c r="D167" s="232" t="s">
        <v>664</v>
      </c>
      <c r="E167" s="232" t="s">
        <v>86</v>
      </c>
      <c r="F167" s="232" t="s">
        <v>87</v>
      </c>
      <c r="G167" s="295">
        <v>1</v>
      </c>
      <c r="H167" s="296" t="s">
        <v>1379</v>
      </c>
      <c r="I167" s="297" t="s">
        <v>1061</v>
      </c>
      <c r="J167" s="232" t="s">
        <v>922</v>
      </c>
      <c r="K167" s="233">
        <v>26000</v>
      </c>
      <c r="L167" s="284">
        <f>IF(K167&gt;=Datos!$D$14,(Datos!$D$14*Datos!$C$14),IF(K167&lt;=Datos!$D$14,(K167*Datos!$C$14)))</f>
        <v>746.2</v>
      </c>
      <c r="M167" s="284">
        <f>IF(K167&gt;=Datos!$D$15,(Datos!$D$15*Datos!$C$15),IF(K167&lt;=Datos!$D$15,(K167*Datos!$C$15)))</f>
        <v>790.4</v>
      </c>
      <c r="N167" s="231"/>
      <c r="O167" s="231">
        <f t="shared" si="21"/>
        <v>24463.4</v>
      </c>
      <c r="P167" s="223">
        <f>IF(O167&lt;=Datos!$G$7,"0",IF(O167&lt;=Datos!$G$8,(O167-Datos!$F$8)*Datos!$I$6,IF(O167&lt;=Datos!$G$9,Datos!$I$8+(O167-Datos!$F$9)*Datos!$J$6,IF(O167&gt;=Datos!$F$10,(Datos!$I$8+Datos!$J$8)+(O167-Datos!$F$10)*Datos!$K$6))))-W167</f>
        <v>0</v>
      </c>
      <c r="Q167" s="231">
        <f>IFERROR(VLOOKUP(C167,[1]Hoja1!$D$5:$E$58,2,FALSE),0)</f>
        <v>0</v>
      </c>
      <c r="R167" s="234"/>
      <c r="S167" s="234"/>
      <c r="T167" s="234"/>
      <c r="U167" s="234"/>
      <c r="V167" s="234">
        <v>25</v>
      </c>
      <c r="W167" s="231"/>
      <c r="X167" s="234">
        <f t="shared" si="17"/>
        <v>1561.6</v>
      </c>
      <c r="Y167" s="234">
        <f t="shared" si="16"/>
        <v>24438.400000000001</v>
      </c>
      <c r="Z167" s="296" t="s">
        <v>184</v>
      </c>
      <c r="AA167" s="298">
        <v>44197</v>
      </c>
      <c r="AB167" s="235"/>
      <c r="AC167" s="264"/>
    </row>
    <row r="168" spans="1:29" s="236" customFormat="1" x14ac:dyDescent="0.25">
      <c r="A168" s="232"/>
      <c r="B168" s="302">
        <v>162</v>
      </c>
      <c r="C168" s="295" t="s">
        <v>1105</v>
      </c>
      <c r="D168" s="232" t="s">
        <v>1104</v>
      </c>
      <c r="E168" s="232" t="s">
        <v>86</v>
      </c>
      <c r="F168" s="232" t="s">
        <v>87</v>
      </c>
      <c r="G168" s="295">
        <v>1</v>
      </c>
      <c r="H168" s="296" t="s">
        <v>1215</v>
      </c>
      <c r="I168" s="297" t="s">
        <v>1061</v>
      </c>
      <c r="J168" s="232" t="s">
        <v>1106</v>
      </c>
      <c r="K168" s="233">
        <f>150000+20000</f>
        <v>170000</v>
      </c>
      <c r="L168" s="284">
        <f>IF(K168&gt;=Datos!$D$14,(Datos!$D$14*Datos!$C$14),IF(K168&lt;=Datos!$D$14,(K168*Datos!$C$14)))</f>
        <v>4879</v>
      </c>
      <c r="M168" s="284">
        <f>IF(K168&gt;=Datos!$D$15,(Datos!$D$15*Datos!$C$15),IF(K168&lt;=Datos!$D$15,(K168*Datos!$C$15)))</f>
        <v>5168</v>
      </c>
      <c r="N168" s="231"/>
      <c r="O168" s="231">
        <f t="shared" si="21"/>
        <v>159953</v>
      </c>
      <c r="P168" s="223">
        <f>IF(O168&lt;=Datos!$G$7,"0",IF(O168&lt;=Datos!$G$8,(O168-Datos!$F$8)*Datos!$I$6,IF(O168&lt;=Datos!$G$9,Datos!$I$8+(O168-Datos!$F$9)*Datos!$J$6,IF(O168&gt;=Datos!$F$10,(Datos!$I$8+Datos!$J$8)+(O168-Datos!$F$10)*Datos!$K$6))))-W168</f>
        <v>28571.110666666667</v>
      </c>
      <c r="Q168" s="231">
        <f>IFERROR(VLOOKUP(C168,[1]Hoja1!$D$5:$E$58,2,FALSE),0)</f>
        <v>5000</v>
      </c>
      <c r="R168" s="234"/>
      <c r="S168" s="234"/>
      <c r="T168" s="234"/>
      <c r="U168" s="234"/>
      <c r="V168" s="234">
        <v>25</v>
      </c>
      <c r="W168" s="231"/>
      <c r="X168" s="234">
        <f t="shared" si="17"/>
        <v>43643.110666666667</v>
      </c>
      <c r="Y168" s="234">
        <f t="shared" si="16"/>
        <v>126356.88933333333</v>
      </c>
      <c r="Z168" s="296"/>
      <c r="AA168" s="298">
        <v>44835</v>
      </c>
      <c r="AB168" s="235"/>
      <c r="AC168" s="264"/>
    </row>
    <row r="169" spans="1:29" s="236" customFormat="1" x14ac:dyDescent="0.25">
      <c r="A169" s="232"/>
      <c r="B169" s="302">
        <v>163</v>
      </c>
      <c r="C169" s="295" t="s">
        <v>1110</v>
      </c>
      <c r="D169" s="232" t="s">
        <v>1111</v>
      </c>
      <c r="E169" s="232" t="s">
        <v>85</v>
      </c>
      <c r="F169" s="232" t="s">
        <v>87</v>
      </c>
      <c r="G169" s="295">
        <v>1</v>
      </c>
      <c r="H169" s="296" t="s">
        <v>1834</v>
      </c>
      <c r="I169" s="297" t="s">
        <v>1062</v>
      </c>
      <c r="J169" s="232" t="s">
        <v>933</v>
      </c>
      <c r="K169" s="233">
        <v>26000</v>
      </c>
      <c r="L169" s="284">
        <f>IF(K169&gt;=Datos!$D$14,(Datos!$D$14*Datos!$C$14),IF(K169&lt;=Datos!$D$14,(K169*Datos!$C$14)))</f>
        <v>746.2</v>
      </c>
      <c r="M169" s="284">
        <f>IF(K169&gt;=Datos!$D$15,(Datos!$D$15*Datos!$C$15),IF(K169&lt;=Datos!$D$15,(K169*Datos!$C$15)))</f>
        <v>790.4</v>
      </c>
      <c r="N169" s="231"/>
      <c r="O169" s="231">
        <f t="shared" si="21"/>
        <v>24463.4</v>
      </c>
      <c r="P169" s="223">
        <f>IF(O169&lt;=Datos!$G$7,"0",IF(O169&lt;=Datos!$G$8,(O169-Datos!$F$8)*Datos!$I$6,IF(O169&lt;=Datos!$G$9,Datos!$I$8+(O169-Datos!$F$9)*Datos!$J$6,IF(O169&gt;=Datos!$F$10,(Datos!$I$8+Datos!$J$8)+(O169-Datos!$F$10)*Datos!$K$6))))-W169</f>
        <v>0</v>
      </c>
      <c r="Q169" s="231">
        <f>IFERROR(VLOOKUP(C169,[1]Hoja1!$D$5:$E$58,2,FALSE),0)</f>
        <v>0</v>
      </c>
      <c r="R169" s="234"/>
      <c r="S169" s="234"/>
      <c r="T169" s="234"/>
      <c r="U169" s="234"/>
      <c r="V169" s="234">
        <v>25</v>
      </c>
      <c r="W169" s="231"/>
      <c r="X169" s="234">
        <f t="shared" si="17"/>
        <v>1561.6</v>
      </c>
      <c r="Y169" s="234">
        <f t="shared" si="16"/>
        <v>24438.400000000001</v>
      </c>
      <c r="Z169" s="296"/>
      <c r="AA169" s="298">
        <v>44866</v>
      </c>
      <c r="AB169" s="235"/>
      <c r="AC169" s="264"/>
    </row>
    <row r="170" spans="1:29" s="236" customFormat="1" x14ac:dyDescent="0.25">
      <c r="A170" s="232"/>
      <c r="B170" s="302">
        <v>164</v>
      </c>
      <c r="C170" s="295" t="s">
        <v>424</v>
      </c>
      <c r="D170" s="232" t="s">
        <v>665</v>
      </c>
      <c r="E170" s="232" t="s">
        <v>85</v>
      </c>
      <c r="F170" s="232" t="s">
        <v>87</v>
      </c>
      <c r="G170" s="295">
        <v>1</v>
      </c>
      <c r="H170" s="296" t="s">
        <v>1502</v>
      </c>
      <c r="I170" s="297" t="s">
        <v>1061</v>
      </c>
      <c r="J170" s="232" t="s">
        <v>836</v>
      </c>
      <c r="K170" s="233">
        <v>70000</v>
      </c>
      <c r="L170" s="284">
        <f>IF(K170&gt;=Datos!$D$14,(Datos!$D$14*Datos!$C$14),IF(K170&lt;=Datos!$D$14,(K170*Datos!$C$14)))</f>
        <v>2009</v>
      </c>
      <c r="M170" s="284">
        <f>IF(K170&gt;=Datos!$D$15,(Datos!$D$15*Datos!$C$15),IF(K170&lt;=Datos!$D$15,(K170*Datos!$C$15)))</f>
        <v>2128</v>
      </c>
      <c r="N170" s="231"/>
      <c r="O170" s="231">
        <f t="shared" si="21"/>
        <v>65863</v>
      </c>
      <c r="P170" s="223">
        <f>IF(O170&lt;=Datos!$G$7,"0",IF(O170&lt;=Datos!$G$8,(O170-Datos!$F$8)*Datos!$I$6,IF(O170&lt;=Datos!$G$9,Datos!$I$8+(O170-Datos!$F$9)*Datos!$J$6,IF(O170&gt;=Datos!$F$10,(Datos!$I$8+Datos!$J$8)+(O170-Datos!$F$10)*Datos!$K$6))))-W170</f>
        <v>5368.4756666666663</v>
      </c>
      <c r="Q170" s="231">
        <v>2013.05</v>
      </c>
      <c r="R170" s="234"/>
      <c r="S170" s="234"/>
      <c r="T170" s="234"/>
      <c r="U170" s="234"/>
      <c r="V170" s="234">
        <v>25</v>
      </c>
      <c r="W170" s="231"/>
      <c r="X170" s="234">
        <f t="shared" si="17"/>
        <v>11543.525666666666</v>
      </c>
      <c r="Y170" s="234">
        <f t="shared" si="16"/>
        <v>58456.474333333332</v>
      </c>
      <c r="Z170" s="296" t="s">
        <v>185</v>
      </c>
      <c r="AA170" s="298">
        <v>44197</v>
      </c>
      <c r="AB170" s="235"/>
      <c r="AC170" s="264"/>
    </row>
    <row r="171" spans="1:29" s="236" customFormat="1" x14ac:dyDescent="0.25">
      <c r="A171" s="232"/>
      <c r="B171" s="302">
        <v>165</v>
      </c>
      <c r="C171" s="295" t="s">
        <v>1775</v>
      </c>
      <c r="D171" s="232" t="s">
        <v>1776</v>
      </c>
      <c r="E171" s="232" t="s">
        <v>86</v>
      </c>
      <c r="F171" s="232" t="s">
        <v>87</v>
      </c>
      <c r="G171" s="295">
        <v>1</v>
      </c>
      <c r="H171" s="296" t="s">
        <v>1828</v>
      </c>
      <c r="I171" s="297" t="s">
        <v>1061</v>
      </c>
      <c r="J171" s="232" t="s">
        <v>1274</v>
      </c>
      <c r="K171" s="233">
        <v>35000</v>
      </c>
      <c r="L171" s="284">
        <f>IF(K171&gt;=Datos!$D$14,(Datos!$D$14*Datos!$C$14),IF(K171&lt;=Datos!$D$14,(K171*Datos!$C$14)))</f>
        <v>1004.5</v>
      </c>
      <c r="M171" s="284">
        <f>IF(K171&gt;=Datos!$D$15,(Datos!$D$15*Datos!$C$15),IF(K171&lt;=Datos!$D$15,(K171*Datos!$C$15)))</f>
        <v>1064</v>
      </c>
      <c r="N171" s="231"/>
      <c r="O171" s="231">
        <f t="shared" si="21"/>
        <v>32931.5</v>
      </c>
      <c r="P171" s="223">
        <f>IF(O171&lt;=Datos!$G$7,"0",IF(O171&lt;=Datos!$G$8,(O171-Datos!$F$8)*Datos!$I$6,IF(O171&lt;=Datos!$G$9,Datos!$I$8+(O171-Datos!$F$9)*Datos!$J$6,IF(O171&gt;=Datos!$F$10,(Datos!$I$8+Datos!$J$8)+(O171-Datos!$F$10)*Datos!$K$6))))-W171</f>
        <v>0</v>
      </c>
      <c r="Q171" s="231">
        <f>IFERROR(VLOOKUP(C171,[1]Hoja1!$D$5:$E$58,2,FALSE),0)</f>
        <v>0</v>
      </c>
      <c r="R171" s="234"/>
      <c r="S171" s="234"/>
      <c r="T171" s="234"/>
      <c r="U171" s="234"/>
      <c r="V171" s="234">
        <v>25</v>
      </c>
      <c r="W171" s="231"/>
      <c r="X171" s="234">
        <f t="shared" si="17"/>
        <v>2093.5</v>
      </c>
      <c r="Y171" s="234">
        <f t="shared" si="16"/>
        <v>32906.5</v>
      </c>
      <c r="Z171" s="296">
        <v>9607660891</v>
      </c>
      <c r="AA171" s="298">
        <v>45597</v>
      </c>
      <c r="AB171" s="235"/>
      <c r="AC171" s="264"/>
    </row>
    <row r="172" spans="1:29" s="236" customFormat="1" ht="15" customHeight="1" x14ac:dyDescent="0.25">
      <c r="A172" s="232"/>
      <c r="B172" s="302">
        <v>166</v>
      </c>
      <c r="C172" s="295" t="s">
        <v>425</v>
      </c>
      <c r="D172" s="232" t="s">
        <v>666</v>
      </c>
      <c r="E172" s="232" t="s">
        <v>86</v>
      </c>
      <c r="F172" s="232" t="s">
        <v>87</v>
      </c>
      <c r="G172" s="295">
        <v>1</v>
      </c>
      <c r="H172" s="296" t="s">
        <v>1187</v>
      </c>
      <c r="I172" s="297" t="s">
        <v>1187</v>
      </c>
      <c r="J172" s="232" t="s">
        <v>860</v>
      </c>
      <c r="K172" s="233">
        <f>250000</f>
        <v>250000</v>
      </c>
      <c r="L172" s="284">
        <f>IF(K172&gt;=Datos!$D$14,(Datos!$D$14*Datos!$C$14),IF(K172&lt;=Datos!$D$14,(K172*Datos!$C$14)))</f>
        <v>7175</v>
      </c>
      <c r="M172" s="284">
        <v>5883.16</v>
      </c>
      <c r="N172" s="231"/>
      <c r="O172" s="231">
        <f t="shared" si="21"/>
        <v>236941.84</v>
      </c>
      <c r="P172" s="223">
        <f>IF(O172&lt;=Datos!$G$7,"0",IF(O172&lt;=Datos!$G$8,(O172-Datos!$F$8)*Datos!$I$6,IF(O172&lt;=Datos!$G$9,Datos!$I$8+(O172-Datos!$F$9)*Datos!$J$6,IF(O172&gt;=Datos!$F$10,(Datos!$I$8+Datos!$J$8)+(O172-Datos!$F$10)*Datos!$K$6))))-W172</f>
        <v>47818.320666666667</v>
      </c>
      <c r="Q172" s="231">
        <f>IFERROR(VLOOKUP(C172,[1]Hoja1!$D$5:$E$58,2,FALSE),0)</f>
        <v>0</v>
      </c>
      <c r="R172" s="234"/>
      <c r="S172" s="234"/>
      <c r="T172" s="234"/>
      <c r="U172" s="234"/>
      <c r="V172" s="234">
        <v>25</v>
      </c>
      <c r="W172" s="231"/>
      <c r="X172" s="234">
        <f t="shared" si="17"/>
        <v>60901.48066666667</v>
      </c>
      <c r="Y172" s="234">
        <f t="shared" si="16"/>
        <v>189098.51933333333</v>
      </c>
      <c r="Z172" s="296" t="s">
        <v>186</v>
      </c>
      <c r="AA172" s="298">
        <v>44420</v>
      </c>
      <c r="AB172" s="235"/>
      <c r="AC172" s="264"/>
    </row>
    <row r="173" spans="1:29" s="236" customFormat="1" x14ac:dyDescent="0.25">
      <c r="A173" s="232"/>
      <c r="B173" s="302">
        <v>167</v>
      </c>
      <c r="C173" s="295" t="s">
        <v>426</v>
      </c>
      <c r="D173" s="232" t="s">
        <v>667</v>
      </c>
      <c r="E173" s="232" t="s">
        <v>86</v>
      </c>
      <c r="F173" s="232" t="s">
        <v>87</v>
      </c>
      <c r="G173" s="295">
        <v>1</v>
      </c>
      <c r="H173" s="296" t="s">
        <v>1548</v>
      </c>
      <c r="I173" s="297" t="s">
        <v>1061</v>
      </c>
      <c r="J173" s="232" t="s">
        <v>833</v>
      </c>
      <c r="K173" s="233">
        <f>13860+4140</f>
        <v>18000</v>
      </c>
      <c r="L173" s="284">
        <f>IF(K173&gt;=Datos!$D$14,(Datos!$D$14*Datos!$C$14),IF(K173&lt;=Datos!$D$14,(K173*Datos!$C$14)))</f>
        <v>516.6</v>
      </c>
      <c r="M173" s="284">
        <f>IF(K173&gt;=Datos!$D$15,(Datos!$D$15*Datos!$C$15),IF(K173&lt;=Datos!$D$15,(K173*Datos!$C$15)))</f>
        <v>547.20000000000005</v>
      </c>
      <c r="N173" s="231"/>
      <c r="O173" s="231">
        <f t="shared" si="21"/>
        <v>16936.2</v>
      </c>
      <c r="P173" s="223">
        <f>IF(O173&lt;=Datos!$G$7,"0",IF(O173&lt;=Datos!$G$8,(O173-Datos!$F$8)*Datos!$I$6,IF(O173&lt;=Datos!$G$9,Datos!$I$8+(O173-Datos!$F$9)*Datos!$J$6,IF(O173&gt;=Datos!$F$10,(Datos!$I$8+Datos!$J$8)+(O173-Datos!$F$10)*Datos!$K$6))))-W173</f>
        <v>0</v>
      </c>
      <c r="Q173" s="231">
        <v>7782.74</v>
      </c>
      <c r="R173" s="234"/>
      <c r="S173" s="234"/>
      <c r="T173" s="234"/>
      <c r="U173" s="234"/>
      <c r="V173" s="234">
        <v>25</v>
      </c>
      <c r="W173" s="231"/>
      <c r="X173" s="234">
        <f t="shared" si="17"/>
        <v>8871.5400000000009</v>
      </c>
      <c r="Y173" s="234">
        <f t="shared" si="16"/>
        <v>9128.4599999999991</v>
      </c>
      <c r="Z173" s="296" t="s">
        <v>187</v>
      </c>
      <c r="AA173" s="298">
        <v>44197</v>
      </c>
      <c r="AB173" s="235"/>
      <c r="AC173" s="264"/>
    </row>
    <row r="174" spans="1:29" s="236" customFormat="1" x14ac:dyDescent="0.25">
      <c r="A174" s="232"/>
      <c r="B174" s="302">
        <v>168</v>
      </c>
      <c r="C174" s="295" t="s">
        <v>427</v>
      </c>
      <c r="D174" s="232" t="s">
        <v>668</v>
      </c>
      <c r="E174" s="232" t="s">
        <v>85</v>
      </c>
      <c r="F174" s="232" t="s">
        <v>87</v>
      </c>
      <c r="G174" s="295">
        <v>5</v>
      </c>
      <c r="H174" s="296" t="s">
        <v>1210</v>
      </c>
      <c r="I174" s="297" t="s">
        <v>1060</v>
      </c>
      <c r="J174" s="232" t="s">
        <v>837</v>
      </c>
      <c r="K174" s="233">
        <f>50000+10000</f>
        <v>60000</v>
      </c>
      <c r="L174" s="284">
        <f>IF(K174&gt;=Datos!$D$14,(Datos!$D$14*Datos!$C$14),IF(K174&lt;=Datos!$D$14,(K174*Datos!$C$14)))</f>
        <v>1722</v>
      </c>
      <c r="M174" s="284">
        <f>IF(K174&gt;=Datos!$D$15,(Datos!$D$15*Datos!$C$15),IF(K174&lt;=Datos!$D$15,(K174*Datos!$C$15)))</f>
        <v>1824</v>
      </c>
      <c r="N174" s="231"/>
      <c r="O174" s="231">
        <f t="shared" si="21"/>
        <v>56454</v>
      </c>
      <c r="P174" s="223">
        <f>IF(O174&lt;=Datos!$G$7,"0",IF(O174&lt;=Datos!$G$8,(O174-Datos!$F$8)*Datos!$I$6,IF(O174&lt;=Datos!$G$9,Datos!$I$8+(O174-Datos!$F$9)*Datos!$J$6,IF(O174&gt;=Datos!$F$10,(Datos!$I$8+Datos!$J$8)+(O174-Datos!$F$10)*Datos!$K$6))))-W174</f>
        <v>3486.6756666666661</v>
      </c>
      <c r="Q174" s="231">
        <f>IFERROR(VLOOKUP(C174,[1]Hoja1!$D$5:$E$58,2,FALSE),0)</f>
        <v>0</v>
      </c>
      <c r="R174" s="234"/>
      <c r="S174" s="234"/>
      <c r="T174" s="234"/>
      <c r="U174" s="234"/>
      <c r="V174" s="234">
        <v>25</v>
      </c>
      <c r="W174" s="231"/>
      <c r="X174" s="234">
        <f t="shared" si="17"/>
        <v>7057.6756666666661</v>
      </c>
      <c r="Y174" s="234">
        <f t="shared" si="16"/>
        <v>52942.324333333338</v>
      </c>
      <c r="Z174" s="296" t="s">
        <v>188</v>
      </c>
      <c r="AA174" s="298">
        <v>44511</v>
      </c>
      <c r="AB174" s="235"/>
      <c r="AC174" s="264"/>
    </row>
    <row r="175" spans="1:29" s="236" customFormat="1" x14ac:dyDescent="0.25">
      <c r="A175" s="232"/>
      <c r="B175" s="302">
        <v>169</v>
      </c>
      <c r="C175" s="295" t="s">
        <v>942</v>
      </c>
      <c r="D175" s="232" t="s">
        <v>943</v>
      </c>
      <c r="E175" s="232" t="s">
        <v>85</v>
      </c>
      <c r="F175" s="232" t="s">
        <v>87</v>
      </c>
      <c r="G175" s="295">
        <v>1</v>
      </c>
      <c r="H175" s="296" t="s">
        <v>1217</v>
      </c>
      <c r="I175" s="297" t="s">
        <v>1187</v>
      </c>
      <c r="J175" s="232" t="s">
        <v>1301</v>
      </c>
      <c r="K175" s="233">
        <f>120000-20000</f>
        <v>100000</v>
      </c>
      <c r="L175" s="284">
        <f>IF(K175&gt;=Datos!$D$14,(Datos!$D$14*Datos!$C$14),IF(K175&lt;=Datos!$D$14,(K175*Datos!$C$14)))</f>
        <v>2870</v>
      </c>
      <c r="M175" s="284">
        <f>IF(K175&gt;=Datos!$D$15,(Datos!$D$15*Datos!$C$15),IF(K175&lt;=Datos!$D$15,(K175*Datos!$C$15)))</f>
        <v>3040</v>
      </c>
      <c r="N175" s="231"/>
      <c r="O175" s="231">
        <f t="shared" si="21"/>
        <v>94090</v>
      </c>
      <c r="P175" s="223">
        <f>IF(O175&lt;=Datos!$G$7,"0",IF(O175&lt;=Datos!$G$8,(O175-Datos!$F$8)*Datos!$I$6,IF(O175&lt;=Datos!$G$9,Datos!$I$8+(O175-Datos!$F$9)*Datos!$J$6,IF(O175&gt;=Datos!$F$10,(Datos!$I$8+Datos!$J$8)+(O175-Datos!$F$10)*Datos!$K$6))))-W175</f>
        <v>12105.360666666667</v>
      </c>
      <c r="Q175" s="231">
        <f>IFERROR(VLOOKUP(C175,[1]Hoja1!$D$5:$E$58,2,FALSE),0)</f>
        <v>0</v>
      </c>
      <c r="R175" s="234"/>
      <c r="S175" s="234"/>
      <c r="T175" s="234"/>
      <c r="U175" s="234"/>
      <c r="V175" s="234">
        <v>25</v>
      </c>
      <c r="W175" s="231"/>
      <c r="X175" s="234">
        <f t="shared" si="17"/>
        <v>18040.360666666667</v>
      </c>
      <c r="Y175" s="234">
        <f t="shared" si="16"/>
        <v>81959.639333333325</v>
      </c>
      <c r="Z175" s="296"/>
      <c r="AA175" s="298">
        <v>44652</v>
      </c>
      <c r="AB175" s="235"/>
      <c r="AC175" s="264"/>
    </row>
    <row r="176" spans="1:29" s="236" customFormat="1" x14ac:dyDescent="0.25">
      <c r="A176" s="232"/>
      <c r="B176" s="302">
        <v>170</v>
      </c>
      <c r="C176" s="295" t="s">
        <v>428</v>
      </c>
      <c r="D176" s="232" t="s">
        <v>669</v>
      </c>
      <c r="E176" s="232" t="s">
        <v>85</v>
      </c>
      <c r="F176" s="232" t="s">
        <v>87</v>
      </c>
      <c r="G176" s="295">
        <v>5</v>
      </c>
      <c r="H176" s="296" t="s">
        <v>1210</v>
      </c>
      <c r="I176" s="297" t="s">
        <v>1062</v>
      </c>
      <c r="J176" s="232" t="s">
        <v>837</v>
      </c>
      <c r="K176" s="233">
        <f>45000+20000</f>
        <v>65000</v>
      </c>
      <c r="L176" s="284">
        <f>IF(K176&gt;=Datos!$D$14,(Datos!$D$14*Datos!$C$14),IF(K176&lt;=Datos!$D$14,(K176*Datos!$C$14)))</f>
        <v>1865.5</v>
      </c>
      <c r="M176" s="284">
        <f>IF(K176&gt;=Datos!$D$15,(Datos!$D$15*Datos!$C$15),IF(K176&lt;=Datos!$D$15,(K176*Datos!$C$15)))</f>
        <v>1976</v>
      </c>
      <c r="N176" s="231"/>
      <c r="O176" s="231">
        <f t="shared" si="21"/>
        <v>61158.5</v>
      </c>
      <c r="P176" s="223">
        <f>IF(O176&lt;=Datos!$G$7,"0",IF(O176&lt;=Datos!$G$8,(O176-Datos!$F$8)*Datos!$I$6,IF(O176&lt;=Datos!$G$9,Datos!$I$8+(O176-Datos!$F$9)*Datos!$J$6,IF(O176&gt;=Datos!$F$10,(Datos!$I$8+Datos!$J$8)+(O176-Datos!$F$10)*Datos!$K$6))))-W176</f>
        <v>4427.5756666666657</v>
      </c>
      <c r="Q176" s="231">
        <f>IFERROR(VLOOKUP(C176,[1]Hoja1!$D$5:$E$58,2,FALSE),0)</f>
        <v>0</v>
      </c>
      <c r="R176" s="234"/>
      <c r="S176" s="234"/>
      <c r="T176" s="234"/>
      <c r="U176" s="234"/>
      <c r="V176" s="234">
        <v>25</v>
      </c>
      <c r="W176" s="231"/>
      <c r="X176" s="234">
        <f t="shared" si="17"/>
        <v>8294.0756666666657</v>
      </c>
      <c r="Y176" s="234">
        <f t="shared" si="16"/>
        <v>56705.924333333336</v>
      </c>
      <c r="Z176" s="296" t="s">
        <v>189</v>
      </c>
      <c r="AA176" s="298">
        <v>44197</v>
      </c>
      <c r="AB176" s="235"/>
      <c r="AC176" s="264"/>
    </row>
    <row r="177" spans="1:29" s="236" customFormat="1" x14ac:dyDescent="0.25">
      <c r="A177" s="232"/>
      <c r="B177" s="302">
        <v>171</v>
      </c>
      <c r="C177" s="295" t="s">
        <v>429</v>
      </c>
      <c r="D177" s="232" t="s">
        <v>670</v>
      </c>
      <c r="E177" s="232" t="s">
        <v>85</v>
      </c>
      <c r="F177" s="232" t="s">
        <v>87</v>
      </c>
      <c r="G177" s="295">
        <v>1</v>
      </c>
      <c r="H177" s="296" t="s">
        <v>1827</v>
      </c>
      <c r="I177" s="297" t="s">
        <v>1060</v>
      </c>
      <c r="J177" s="232" t="s">
        <v>851</v>
      </c>
      <c r="K177" s="233">
        <v>35000</v>
      </c>
      <c r="L177" s="284">
        <f>IF(K177&gt;=Datos!$D$14,(Datos!$D$14*Datos!$C$14),IF(K177&lt;=Datos!$D$14,(K177*Datos!$C$14)))</f>
        <v>1004.5</v>
      </c>
      <c r="M177" s="284">
        <f>IF(K177&gt;=Datos!$D$15,(Datos!$D$15*Datos!$C$15),IF(K177&lt;=Datos!$D$15,(K177*Datos!$C$15)))</f>
        <v>1064</v>
      </c>
      <c r="N177" s="284">
        <f>+N160*2</f>
        <v>3430.92</v>
      </c>
      <c r="O177" s="231">
        <f t="shared" si="21"/>
        <v>29500.58</v>
      </c>
      <c r="P177" s="223">
        <f>IF(O177&lt;=Datos!$G$7,"0",IF(O177&lt;=Datos!$G$8,(O177-Datos!$F$8)*Datos!$I$6,IF(O177&lt;=Datos!$G$9,Datos!$I$8+(O177-Datos!$F$9)*Datos!$J$6,IF(O177&gt;=Datos!$F$10,(Datos!$I$8+Datos!$J$8)+(O177-Datos!$F$10)*Datos!$K$6))))-W177</f>
        <v>0</v>
      </c>
      <c r="Q177" s="231">
        <v>0</v>
      </c>
      <c r="R177" s="234"/>
      <c r="S177" s="234"/>
      <c r="T177" s="234"/>
      <c r="U177" s="234"/>
      <c r="V177" s="234">
        <v>25</v>
      </c>
      <c r="W177" s="231"/>
      <c r="X177" s="234">
        <f t="shared" si="17"/>
        <v>5524.42</v>
      </c>
      <c r="Y177" s="234">
        <f t="shared" si="16"/>
        <v>29475.58</v>
      </c>
      <c r="Z177" s="296" t="s">
        <v>190</v>
      </c>
      <c r="AA177" s="298">
        <v>44197</v>
      </c>
      <c r="AB177" s="235"/>
      <c r="AC177" s="264"/>
    </row>
    <row r="178" spans="1:29" s="236" customFormat="1" x14ac:dyDescent="0.25">
      <c r="A178" s="232"/>
      <c r="B178" s="302">
        <v>172</v>
      </c>
      <c r="C178" s="295" t="s">
        <v>430</v>
      </c>
      <c r="D178" s="232" t="s">
        <v>671</v>
      </c>
      <c r="E178" s="232" t="s">
        <v>85</v>
      </c>
      <c r="F178" s="232" t="s">
        <v>87</v>
      </c>
      <c r="G178" s="295">
        <v>5</v>
      </c>
      <c r="H178" s="296" t="s">
        <v>1210</v>
      </c>
      <c r="I178" s="297" t="s">
        <v>1062</v>
      </c>
      <c r="J178" s="232" t="s">
        <v>837</v>
      </c>
      <c r="K178" s="233">
        <f>45500+19500</f>
        <v>65000</v>
      </c>
      <c r="L178" s="284">
        <f>IF(K178&gt;=Datos!$D$14,(Datos!$D$14*Datos!$C$14),IF(K178&lt;=Datos!$D$14,(K178*Datos!$C$14)))</f>
        <v>1865.5</v>
      </c>
      <c r="M178" s="284">
        <f>IF(K178&gt;=Datos!$D$15,(Datos!$D$15*Datos!$C$15),IF(K178&lt;=Datos!$D$15,(K178*Datos!$C$15)))</f>
        <v>1976</v>
      </c>
      <c r="N178" s="231"/>
      <c r="O178" s="231">
        <f t="shared" si="21"/>
        <v>61158.5</v>
      </c>
      <c r="P178" s="223">
        <f>IF(O178&lt;=Datos!$G$7,"0",IF(O178&lt;=Datos!$G$8,(O178-Datos!$F$8)*Datos!$I$6,IF(O178&lt;=Datos!$G$9,Datos!$I$8+(O178-Datos!$F$9)*Datos!$J$6,IF(O178&gt;=Datos!$F$10,(Datos!$I$8+Datos!$J$8)+(O178-Datos!$F$10)*Datos!$K$6))))-W178</f>
        <v>4427.5756666666657</v>
      </c>
      <c r="Q178" s="231">
        <f>IFERROR(VLOOKUP(C178,[1]Hoja1!$D$5:$E$58,2,FALSE),0)</f>
        <v>0</v>
      </c>
      <c r="R178" s="234"/>
      <c r="S178" s="234"/>
      <c r="T178" s="234"/>
      <c r="U178" s="234"/>
      <c r="V178" s="234">
        <v>25</v>
      </c>
      <c r="W178" s="231"/>
      <c r="X178" s="234">
        <f t="shared" si="17"/>
        <v>8294.0756666666657</v>
      </c>
      <c r="Y178" s="234">
        <f t="shared" si="16"/>
        <v>56705.924333333336</v>
      </c>
      <c r="Z178" s="296" t="s">
        <v>191</v>
      </c>
      <c r="AA178" s="298">
        <v>44197</v>
      </c>
      <c r="AB178" s="235"/>
      <c r="AC178" s="264"/>
    </row>
    <row r="179" spans="1:29" s="236" customFormat="1" x14ac:dyDescent="0.25">
      <c r="A179" s="232"/>
      <c r="B179" s="302">
        <v>173</v>
      </c>
      <c r="C179" s="295" t="s">
        <v>431</v>
      </c>
      <c r="D179" s="232" t="s">
        <v>672</v>
      </c>
      <c r="E179" s="232" t="s">
        <v>85</v>
      </c>
      <c r="F179" s="232" t="s">
        <v>87</v>
      </c>
      <c r="G179" s="295">
        <v>5</v>
      </c>
      <c r="H179" s="296" t="s">
        <v>1210</v>
      </c>
      <c r="I179" s="297" t="s">
        <v>1062</v>
      </c>
      <c r="J179" s="232" t="s">
        <v>837</v>
      </c>
      <c r="K179" s="233">
        <f>25000+20000+15000</f>
        <v>60000</v>
      </c>
      <c r="L179" s="284">
        <f>IF(K179&gt;=Datos!$D$14,(Datos!$D$14*Datos!$C$14),IF(K179&lt;=Datos!$D$14,(K179*Datos!$C$14)))</f>
        <v>1722</v>
      </c>
      <c r="M179" s="284">
        <f>IF(K179&gt;=Datos!$D$15,(Datos!$D$15*Datos!$C$15),IF(K179&lt;=Datos!$D$15,(K179*Datos!$C$15)))</f>
        <v>1824</v>
      </c>
      <c r="N179" s="231"/>
      <c r="O179" s="231">
        <f t="shared" si="21"/>
        <v>56454</v>
      </c>
      <c r="P179" s="223">
        <f>IF(O179&lt;=Datos!$G$7,"0",IF(O179&lt;=Datos!$G$8,(O179-Datos!$F$8)*Datos!$I$6,IF(O179&lt;=Datos!$G$9,Datos!$I$8+(O179-Datos!$F$9)*Datos!$J$6,IF(O179&gt;=Datos!$F$10,(Datos!$I$8+Datos!$J$8)+(O179-Datos!$F$10)*Datos!$K$6))))-W179</f>
        <v>3486.6756666666661</v>
      </c>
      <c r="Q179" s="231">
        <f>IFERROR(VLOOKUP(C179,[1]Hoja1!$D$5:$E$58,2,FALSE),0)</f>
        <v>0</v>
      </c>
      <c r="R179" s="234"/>
      <c r="S179" s="234"/>
      <c r="T179" s="234"/>
      <c r="U179" s="234"/>
      <c r="V179" s="234">
        <v>25</v>
      </c>
      <c r="W179" s="231"/>
      <c r="X179" s="234">
        <f t="shared" si="17"/>
        <v>7057.6756666666661</v>
      </c>
      <c r="Y179" s="234">
        <f t="shared" si="16"/>
        <v>52942.324333333338</v>
      </c>
      <c r="Z179" s="296" t="s">
        <v>192</v>
      </c>
      <c r="AA179" s="298">
        <v>44484</v>
      </c>
      <c r="AB179" s="235"/>
      <c r="AC179" s="264"/>
    </row>
    <row r="180" spans="1:29" s="236" customFormat="1" x14ac:dyDescent="0.25">
      <c r="A180" s="232"/>
      <c r="B180" s="302">
        <v>174</v>
      </c>
      <c r="C180" s="295" t="s">
        <v>432</v>
      </c>
      <c r="D180" s="232" t="s">
        <v>673</v>
      </c>
      <c r="E180" s="232" t="s">
        <v>85</v>
      </c>
      <c r="F180" s="232" t="s">
        <v>87</v>
      </c>
      <c r="G180" s="295">
        <v>5</v>
      </c>
      <c r="H180" s="296" t="s">
        <v>1210</v>
      </c>
      <c r="I180" s="297" t="s">
        <v>1060</v>
      </c>
      <c r="J180" s="232" t="s">
        <v>944</v>
      </c>
      <c r="K180" s="233">
        <f>25000+25000+10000</f>
        <v>60000</v>
      </c>
      <c r="L180" s="284">
        <f>IF(K180&gt;=Datos!$D$14,(Datos!$D$14*Datos!$C$14),IF(K180&lt;=Datos!$D$14,(K180*Datos!$C$14)))</f>
        <v>1722</v>
      </c>
      <c r="M180" s="284">
        <f>IF(K180&gt;=Datos!$D$15,(Datos!$D$15*Datos!$C$15),IF(K180&lt;=Datos!$D$15,(K180*Datos!$C$15)))</f>
        <v>1824</v>
      </c>
      <c r="N180" s="231"/>
      <c r="O180" s="231">
        <f t="shared" si="21"/>
        <v>56454</v>
      </c>
      <c r="P180" s="223">
        <f>IF(O180&lt;=Datos!$G$7,"0",IF(O180&lt;=Datos!$G$8,(O180-Datos!$F$8)*Datos!$I$6,IF(O180&lt;=Datos!$G$9,Datos!$I$8+(O180-Datos!$F$9)*Datos!$J$6,IF(O180&gt;=Datos!$F$10,(Datos!$I$8+Datos!$J$8)+(O180-Datos!$F$10)*Datos!$K$6))))-W180</f>
        <v>3486.6756666666661</v>
      </c>
      <c r="Q180" s="231">
        <f>IFERROR(VLOOKUP(C180,[1]Hoja1!$D$5:$E$58,2,FALSE),0)</f>
        <v>0</v>
      </c>
      <c r="R180" s="234"/>
      <c r="S180" s="234"/>
      <c r="T180" s="234"/>
      <c r="U180" s="234"/>
      <c r="V180" s="234">
        <v>25</v>
      </c>
      <c r="W180" s="231"/>
      <c r="X180" s="234">
        <f t="shared" si="17"/>
        <v>7057.6756666666661</v>
      </c>
      <c r="Y180" s="234">
        <f t="shared" si="16"/>
        <v>52942.324333333338</v>
      </c>
      <c r="Z180" s="296" t="s">
        <v>193</v>
      </c>
      <c r="AA180" s="298">
        <v>44197</v>
      </c>
      <c r="AB180" s="235"/>
      <c r="AC180" s="264"/>
    </row>
    <row r="181" spans="1:29" s="236" customFormat="1" x14ac:dyDescent="0.25">
      <c r="A181" s="232"/>
      <c r="B181" s="302">
        <v>175</v>
      </c>
      <c r="C181" s="295" t="s">
        <v>1458</v>
      </c>
      <c r="D181" s="232" t="s">
        <v>1459</v>
      </c>
      <c r="E181" s="232" t="s">
        <v>85</v>
      </c>
      <c r="F181" s="232" t="s">
        <v>87</v>
      </c>
      <c r="G181" s="295">
        <v>1</v>
      </c>
      <c r="H181" s="296" t="s">
        <v>1156</v>
      </c>
      <c r="I181" s="296" t="s">
        <v>1067</v>
      </c>
      <c r="J181" s="232" t="s">
        <v>851</v>
      </c>
      <c r="K181" s="233">
        <v>35000</v>
      </c>
      <c r="L181" s="284">
        <f>IF(K181&gt;=Datos!$D$14,(Datos!$D$14*Datos!$C$14),IF(K181&lt;=Datos!$D$14,(K181*Datos!$C$14)))</f>
        <v>1004.5</v>
      </c>
      <c r="M181" s="284">
        <f>IF(K181&gt;=Datos!$D$15,(Datos!$D$15*Datos!$C$15),IF(K181&lt;=Datos!$D$15,(K181*Datos!$C$15)))</f>
        <v>1064</v>
      </c>
      <c r="N181" s="231"/>
      <c r="O181" s="231">
        <f t="shared" si="21"/>
        <v>32931.5</v>
      </c>
      <c r="P181" s="223">
        <f>IF(O181&lt;=Datos!$G$7,"0",IF(O181&lt;=Datos!$G$8,(O181-Datos!$F$8)*Datos!$I$6,IF(O181&lt;=Datos!$G$9,Datos!$I$8+(O181-Datos!$F$9)*Datos!$J$6,IF(O181&gt;=Datos!$F$10,(Datos!$I$8+Datos!$J$8)+(O181-Datos!$F$10)*Datos!$K$6))))-W181</f>
        <v>0</v>
      </c>
      <c r="Q181" s="231">
        <v>5000</v>
      </c>
      <c r="R181" s="234"/>
      <c r="S181" s="234"/>
      <c r="T181" s="234"/>
      <c r="U181" s="234"/>
      <c r="V181" s="234">
        <v>25</v>
      </c>
      <c r="W181" s="231"/>
      <c r="X181" s="234">
        <f t="shared" si="17"/>
        <v>7093.5</v>
      </c>
      <c r="Y181" s="234">
        <f t="shared" si="16"/>
        <v>27906.5</v>
      </c>
      <c r="Z181" s="296">
        <v>9606489672</v>
      </c>
      <c r="AA181" s="298">
        <v>45261</v>
      </c>
      <c r="AB181" s="235"/>
      <c r="AC181" s="264"/>
    </row>
    <row r="182" spans="1:29" s="236" customFormat="1" x14ac:dyDescent="0.25">
      <c r="A182" s="232"/>
      <c r="B182" s="302">
        <v>176</v>
      </c>
      <c r="C182" s="295" t="s">
        <v>1421</v>
      </c>
      <c r="D182" s="232" t="s">
        <v>1422</v>
      </c>
      <c r="E182" s="232" t="s">
        <v>85</v>
      </c>
      <c r="F182" s="232" t="s">
        <v>87</v>
      </c>
      <c r="G182" s="295">
        <v>1</v>
      </c>
      <c r="H182" s="296" t="s">
        <v>1548</v>
      </c>
      <c r="I182" s="297" t="s">
        <v>1067</v>
      </c>
      <c r="J182" s="232" t="s">
        <v>833</v>
      </c>
      <c r="K182" s="233">
        <v>17500</v>
      </c>
      <c r="L182" s="284">
        <f>IF(K182&gt;=Datos!$D$14,(Datos!$D$14*Datos!$C$14),IF(K182&lt;=Datos!$D$14,(K182*Datos!$C$14)))</f>
        <v>502.25</v>
      </c>
      <c r="M182" s="284">
        <f>IF(K182&gt;=Datos!$D$15,(Datos!$D$15*Datos!$C$15),IF(K182&lt;=Datos!$D$15,(K182*Datos!$C$15)))</f>
        <v>532</v>
      </c>
      <c r="N182" s="231"/>
      <c r="O182" s="231">
        <f t="shared" si="21"/>
        <v>16465.75</v>
      </c>
      <c r="P182" s="223">
        <f>IF(O182&lt;=Datos!$G$7,"0",IF(O182&lt;=Datos!$G$8,(O182-Datos!$F$8)*Datos!$I$6,IF(O182&lt;=Datos!$G$9,Datos!$I$8+(O182-Datos!$F$9)*Datos!$J$6,IF(O182&gt;=Datos!$F$10,(Datos!$I$8+Datos!$J$8)+(O182-Datos!$F$10)*Datos!$K$6))))-W182</f>
        <v>0</v>
      </c>
      <c r="Q182" s="231">
        <v>3565.49</v>
      </c>
      <c r="R182" s="234"/>
      <c r="S182" s="234"/>
      <c r="T182" s="234"/>
      <c r="U182" s="234"/>
      <c r="V182" s="234">
        <v>25</v>
      </c>
      <c r="W182" s="231"/>
      <c r="X182" s="234">
        <f t="shared" si="17"/>
        <v>4624.74</v>
      </c>
      <c r="Y182" s="234">
        <f t="shared" si="16"/>
        <v>12875.26</v>
      </c>
      <c r="Z182" s="296">
        <v>9606355151</v>
      </c>
      <c r="AA182" s="298">
        <v>45231</v>
      </c>
      <c r="AB182" s="235"/>
      <c r="AC182" s="264"/>
    </row>
    <row r="183" spans="1:29" s="236" customFormat="1" x14ac:dyDescent="0.25">
      <c r="A183" s="232"/>
      <c r="B183" s="302">
        <v>177</v>
      </c>
      <c r="C183" s="295" t="s">
        <v>433</v>
      </c>
      <c r="D183" s="232" t="s">
        <v>674</v>
      </c>
      <c r="E183" s="232" t="s">
        <v>86</v>
      </c>
      <c r="F183" s="232" t="s">
        <v>87</v>
      </c>
      <c r="G183" s="295">
        <v>4</v>
      </c>
      <c r="H183" s="296" t="s">
        <v>1211</v>
      </c>
      <c r="I183" s="297" t="s">
        <v>1061</v>
      </c>
      <c r="J183" s="232" t="s">
        <v>843</v>
      </c>
      <c r="K183" s="233">
        <f>28600+4822.03</f>
        <v>33422.03</v>
      </c>
      <c r="L183" s="284">
        <f>IF(K183&gt;=Datos!$D$14,(Datos!$D$14*Datos!$C$14),IF(K183&lt;=Datos!$D$14,(K183*Datos!$C$14)))</f>
        <v>959.21226100000001</v>
      </c>
      <c r="M183" s="284">
        <f>IF(K183&gt;=Datos!$D$15,(Datos!$D$15*Datos!$C$15),IF(K183&lt;=Datos!$D$15,(K183*Datos!$C$15)))</f>
        <v>1016.029712</v>
      </c>
      <c r="N183" s="231"/>
      <c r="O183" s="231">
        <f t="shared" si="21"/>
        <v>31446.788026999999</v>
      </c>
      <c r="P183" s="223">
        <f>IF(O183&lt;=Datos!$G$7,"0",IF(O183&lt;=Datos!$G$8,(O183-Datos!$F$8)*Datos!$I$6,IF(O183&lt;=Datos!$G$9,Datos!$I$8+(O183-Datos!$F$9)*Datos!$J$6,IF(O183&gt;=Datos!$F$10,(Datos!$I$8+Datos!$J$8)+(O183-Datos!$F$10)*Datos!$K$6))))-W183</f>
        <v>0</v>
      </c>
      <c r="Q183" s="231">
        <v>1200</v>
      </c>
      <c r="R183" s="234"/>
      <c r="S183" s="234"/>
      <c r="T183" s="234"/>
      <c r="U183" s="234"/>
      <c r="V183" s="234">
        <v>25</v>
      </c>
      <c r="W183" s="231"/>
      <c r="X183" s="234">
        <f t="shared" si="17"/>
        <v>3200.2419730000001</v>
      </c>
      <c r="Y183" s="234">
        <f t="shared" si="16"/>
        <v>30221.788026999999</v>
      </c>
      <c r="Z183" s="296" t="s">
        <v>194</v>
      </c>
      <c r="AA183" s="298">
        <v>44197</v>
      </c>
      <c r="AB183" s="235"/>
      <c r="AC183" s="264"/>
    </row>
    <row r="184" spans="1:29" s="236" customFormat="1" x14ac:dyDescent="0.25">
      <c r="A184" s="232"/>
      <c r="B184" s="302">
        <v>178</v>
      </c>
      <c r="C184" s="295" t="s">
        <v>1308</v>
      </c>
      <c r="D184" s="232" t="s">
        <v>1309</v>
      </c>
      <c r="E184" s="232" t="s">
        <v>85</v>
      </c>
      <c r="F184" s="232" t="s">
        <v>87</v>
      </c>
      <c r="G184" s="295">
        <v>5</v>
      </c>
      <c r="H184" s="296" t="s">
        <v>1210</v>
      </c>
      <c r="I184" s="297" t="s">
        <v>1067</v>
      </c>
      <c r="J184" s="232" t="s">
        <v>1050</v>
      </c>
      <c r="K184" s="233">
        <v>60000</v>
      </c>
      <c r="L184" s="284">
        <f>IF(K184&gt;=Datos!$D$14,(Datos!$D$14*Datos!$C$14),IF(K184&lt;=Datos!$D$14,(K184*Datos!$C$14)))</f>
        <v>1722</v>
      </c>
      <c r="M184" s="284">
        <f>IF(K184&gt;=Datos!$D$15,(Datos!$D$15*Datos!$C$15),IF(K184&lt;=Datos!$D$15,(K184*Datos!$C$15)))</f>
        <v>1824</v>
      </c>
      <c r="N184" s="231"/>
      <c r="O184" s="231">
        <f t="shared" si="21"/>
        <v>56454</v>
      </c>
      <c r="P184" s="223">
        <f>IF(O184&lt;=Datos!$G$7,"0",IF(O184&lt;=Datos!$G$8,(O184-Datos!$F$8)*Datos!$I$6,IF(O184&lt;=Datos!$G$9,Datos!$I$8+(O184-Datos!$F$9)*Datos!$J$6,IF(O184&gt;=Datos!$F$10,(Datos!$I$8+Datos!$J$8)+(O184-Datos!$F$10)*Datos!$K$6))))-W184</f>
        <v>3486.6756666666661</v>
      </c>
      <c r="Q184" s="231">
        <f>IFERROR(VLOOKUP(C184,[1]Hoja1!$D$5:$E$58,2,FALSE),0)</f>
        <v>0</v>
      </c>
      <c r="R184" s="234"/>
      <c r="S184" s="234"/>
      <c r="T184" s="234"/>
      <c r="U184" s="234"/>
      <c r="V184" s="234">
        <v>25</v>
      </c>
      <c r="W184" s="231"/>
      <c r="X184" s="234">
        <f t="shared" si="17"/>
        <v>7057.6756666666661</v>
      </c>
      <c r="Y184" s="234">
        <f t="shared" si="16"/>
        <v>52942.324333333338</v>
      </c>
      <c r="Z184" s="296"/>
      <c r="AA184" s="298">
        <v>45108</v>
      </c>
      <c r="AB184" s="235"/>
      <c r="AC184" s="264"/>
    </row>
    <row r="185" spans="1:29" s="236" customFormat="1" x14ac:dyDescent="0.25">
      <c r="A185" s="232"/>
      <c r="B185" s="302">
        <v>179</v>
      </c>
      <c r="C185" s="295" t="s">
        <v>434</v>
      </c>
      <c r="D185" s="232" t="s">
        <v>675</v>
      </c>
      <c r="E185" s="232" t="s">
        <v>85</v>
      </c>
      <c r="F185" s="232" t="s">
        <v>87</v>
      </c>
      <c r="G185" s="295">
        <v>5</v>
      </c>
      <c r="H185" s="296" t="s">
        <v>1662</v>
      </c>
      <c r="I185" s="297" t="s">
        <v>1060</v>
      </c>
      <c r="J185" s="232" t="s">
        <v>837</v>
      </c>
      <c r="K185" s="233">
        <v>75245.3</v>
      </c>
      <c r="L185" s="284">
        <f>IF(K185&gt;=Datos!$D$14,(Datos!$D$14*Datos!$C$14),IF(K185&lt;=Datos!$D$14,(K185*Datos!$C$14)))</f>
        <v>2159.5401099999999</v>
      </c>
      <c r="M185" s="284">
        <f>IF(K185&gt;=Datos!$D$15,(Datos!$D$15*Datos!$C$15),IF(K185&lt;=Datos!$D$15,(K185*Datos!$C$15)))</f>
        <v>2287.45712</v>
      </c>
      <c r="N185" s="231"/>
      <c r="O185" s="231">
        <f t="shared" si="21"/>
        <v>70798.302770000009</v>
      </c>
      <c r="P185" s="223">
        <f>IF(O185&lt;=Datos!$G$7,"0",IF(O185&lt;=Datos!$G$8,(O185-Datos!$F$8)*Datos!$I$6,IF(O185&lt;=Datos!$G$9,Datos!$I$8+(O185-Datos!$F$9)*Datos!$J$6,IF(O185&gt;=Datos!$F$10,(Datos!$I$8+Datos!$J$8)+(O185-Datos!$F$10)*Datos!$K$6))))-W185</f>
        <v>6355.5362206666687</v>
      </c>
      <c r="Q185" s="231">
        <f>IFERROR(VLOOKUP(C185,[1]Hoja1!$D$5:$E$58,2,FALSE),0)</f>
        <v>0</v>
      </c>
      <c r="R185" s="234"/>
      <c r="S185" s="234"/>
      <c r="T185" s="234"/>
      <c r="U185" s="234"/>
      <c r="V185" s="234">
        <v>25</v>
      </c>
      <c r="W185" s="231"/>
      <c r="X185" s="234">
        <f t="shared" si="17"/>
        <v>10827.53345066667</v>
      </c>
      <c r="Y185" s="234">
        <f t="shared" si="16"/>
        <v>64417.766549333333</v>
      </c>
      <c r="Z185" s="296" t="s">
        <v>195</v>
      </c>
      <c r="AA185" s="298">
        <v>44197</v>
      </c>
      <c r="AB185" s="235"/>
      <c r="AC185" s="264"/>
    </row>
    <row r="186" spans="1:29" s="236" customFormat="1" x14ac:dyDescent="0.25">
      <c r="A186" s="232"/>
      <c r="B186" s="302">
        <v>180</v>
      </c>
      <c r="C186" s="295" t="s">
        <v>1127</v>
      </c>
      <c r="D186" s="232" t="s">
        <v>1128</v>
      </c>
      <c r="E186" s="232" t="s">
        <v>85</v>
      </c>
      <c r="F186" s="232" t="s">
        <v>87</v>
      </c>
      <c r="G186" s="295">
        <v>4</v>
      </c>
      <c r="H186" s="296" t="s">
        <v>1211</v>
      </c>
      <c r="I186" s="297" t="s">
        <v>1060</v>
      </c>
      <c r="J186" s="232" t="s">
        <v>831</v>
      </c>
      <c r="K186" s="233">
        <v>60000</v>
      </c>
      <c r="L186" s="284">
        <f>IF(K186&gt;=Datos!$D$14,(Datos!$D$14*Datos!$C$14),IF(K186&lt;=Datos!$D$14,(K186*Datos!$C$14)))</f>
        <v>1722</v>
      </c>
      <c r="M186" s="284">
        <f>IF(K186&gt;=Datos!$D$15,(Datos!$D$15*Datos!$C$15),IF(K186&lt;=Datos!$D$15,(K186*Datos!$C$15)))</f>
        <v>1824</v>
      </c>
      <c r="N186" s="231"/>
      <c r="O186" s="231">
        <f t="shared" si="21"/>
        <v>56454</v>
      </c>
      <c r="P186" s="223">
        <f>IF(O186&lt;=Datos!$G$7,"0",IF(O186&lt;=Datos!$G$8,(O186-Datos!$F$8)*Datos!$I$6,IF(O186&lt;=Datos!$G$9,Datos!$I$8+(O186-Datos!$F$9)*Datos!$J$6,IF(O186&gt;=Datos!$F$10,(Datos!$I$8+Datos!$J$8)+(O186-Datos!$F$10)*Datos!$K$6))))-W186</f>
        <v>3486.6756666666661</v>
      </c>
      <c r="Q186" s="231">
        <f>IFERROR(VLOOKUP(C186,[1]Hoja1!$D$5:$E$58,2,FALSE),0)</f>
        <v>0</v>
      </c>
      <c r="R186" s="234"/>
      <c r="S186" s="234"/>
      <c r="T186" s="234"/>
      <c r="U186" s="234"/>
      <c r="V186" s="234">
        <v>25</v>
      </c>
      <c r="W186" s="231"/>
      <c r="X186" s="234">
        <f t="shared" si="17"/>
        <v>7057.6756666666661</v>
      </c>
      <c r="Y186" s="234">
        <f t="shared" si="16"/>
        <v>52942.324333333338</v>
      </c>
      <c r="Z186" s="296"/>
      <c r="AA186" s="298">
        <v>44866</v>
      </c>
      <c r="AB186" s="235"/>
      <c r="AC186" s="264"/>
    </row>
    <row r="187" spans="1:29" s="236" customFormat="1" x14ac:dyDescent="0.25">
      <c r="A187" s="232"/>
      <c r="B187" s="302">
        <v>181</v>
      </c>
      <c r="C187" s="295" t="s">
        <v>435</v>
      </c>
      <c r="D187" s="232" t="s">
        <v>676</v>
      </c>
      <c r="E187" s="232" t="s">
        <v>86</v>
      </c>
      <c r="F187" s="232" t="s">
        <v>87</v>
      </c>
      <c r="G187" s="295">
        <v>5</v>
      </c>
      <c r="H187" s="296" t="s">
        <v>1210</v>
      </c>
      <c r="I187" s="297" t="s">
        <v>1062</v>
      </c>
      <c r="J187" s="232" t="s">
        <v>1336</v>
      </c>
      <c r="K187" s="233">
        <f>25000+10000</f>
        <v>35000</v>
      </c>
      <c r="L187" s="284">
        <f>IF(K187&gt;=Datos!$D$14,(Datos!$D$14*Datos!$C$14),IF(K187&lt;=Datos!$D$14,(K187*Datos!$C$14)))</f>
        <v>1004.5</v>
      </c>
      <c r="M187" s="284">
        <f>IF(K187&gt;=Datos!$D$15,(Datos!$D$15*Datos!$C$15),IF(K187&lt;=Datos!$D$15,(K187*Datos!$C$15)))</f>
        <v>1064</v>
      </c>
      <c r="N187" s="231"/>
      <c r="O187" s="231">
        <f t="shared" si="21"/>
        <v>32931.5</v>
      </c>
      <c r="P187" s="223">
        <f>IF(O187&lt;=Datos!$G$7,"0",IF(O187&lt;=Datos!$G$8,(O187-Datos!$F$8)*Datos!$I$6,IF(O187&lt;=Datos!$G$9,Datos!$I$8+(O187-Datos!$F$9)*Datos!$J$6,IF(O187&gt;=Datos!$F$10,(Datos!$I$8+Datos!$J$8)+(O187-Datos!$F$10)*Datos!$K$6))))-W187</f>
        <v>0</v>
      </c>
      <c r="Q187" s="231">
        <f>IFERROR(VLOOKUP(C187,[1]Hoja1!$D$5:$E$58,2,FALSE),0)</f>
        <v>0</v>
      </c>
      <c r="R187" s="234"/>
      <c r="S187" s="234"/>
      <c r="T187" s="234"/>
      <c r="U187" s="234"/>
      <c r="V187" s="234">
        <v>25</v>
      </c>
      <c r="W187" s="231"/>
      <c r="X187" s="234">
        <f t="shared" si="17"/>
        <v>2093.5</v>
      </c>
      <c r="Y187" s="234">
        <f t="shared" si="16"/>
        <v>32906.5</v>
      </c>
      <c r="Z187" s="296" t="s">
        <v>196</v>
      </c>
      <c r="AA187" s="298">
        <v>44470</v>
      </c>
      <c r="AB187" s="235"/>
      <c r="AC187" s="264"/>
    </row>
    <row r="188" spans="1:29" s="236" customFormat="1" x14ac:dyDescent="0.25">
      <c r="A188" s="232"/>
      <c r="B188" s="302">
        <v>182</v>
      </c>
      <c r="C188" s="295" t="s">
        <v>436</v>
      </c>
      <c r="D188" s="232" t="s">
        <v>677</v>
      </c>
      <c r="E188" s="232" t="s">
        <v>85</v>
      </c>
      <c r="F188" s="232" t="s">
        <v>87</v>
      </c>
      <c r="G188" s="295">
        <v>5</v>
      </c>
      <c r="H188" s="296" t="s">
        <v>1210</v>
      </c>
      <c r="I188" s="297" t="s">
        <v>1061</v>
      </c>
      <c r="J188" s="232" t="s">
        <v>832</v>
      </c>
      <c r="K188" s="233">
        <f>20000+15000</f>
        <v>35000</v>
      </c>
      <c r="L188" s="284">
        <f>IF(K188&gt;=Datos!$D$14,(Datos!$D$14*Datos!$C$14),IF(K188&lt;=Datos!$D$14,(K188*Datos!$C$14)))</f>
        <v>1004.5</v>
      </c>
      <c r="M188" s="284">
        <f>IF(K188&gt;=Datos!$D$15,(Datos!$D$15*Datos!$C$15),IF(K188&lt;=Datos!$D$15,(K188*Datos!$C$15)))</f>
        <v>1064</v>
      </c>
      <c r="N188" s="231"/>
      <c r="O188" s="231">
        <f t="shared" si="21"/>
        <v>32931.5</v>
      </c>
      <c r="P188" s="223">
        <f>IF(O188&lt;=Datos!$G$7,"0",IF(O188&lt;=Datos!$G$8,(O188-Datos!$F$8)*Datos!$I$6,IF(O188&lt;=Datos!$G$9,Datos!$I$8+(O188-Datos!$F$9)*Datos!$J$6,IF(O188&gt;=Datos!$F$10,(Datos!$I$8+Datos!$J$8)+(O188-Datos!$F$10)*Datos!$K$6))))-W188</f>
        <v>0</v>
      </c>
      <c r="Q188" s="231">
        <f>IFERROR(VLOOKUP(C188,[1]Hoja1!$D$5:$E$58,2,FALSE),0)</f>
        <v>0</v>
      </c>
      <c r="R188" s="234"/>
      <c r="S188" s="234"/>
      <c r="T188" s="234"/>
      <c r="U188" s="234"/>
      <c r="V188" s="234">
        <v>25</v>
      </c>
      <c r="W188" s="231"/>
      <c r="X188" s="234">
        <f t="shared" si="17"/>
        <v>2093.5</v>
      </c>
      <c r="Y188" s="234">
        <f t="shared" si="16"/>
        <v>32906.5</v>
      </c>
      <c r="Z188" s="296" t="s">
        <v>197</v>
      </c>
      <c r="AA188" s="298">
        <v>44197</v>
      </c>
      <c r="AB188" s="235"/>
      <c r="AC188" s="264"/>
    </row>
    <row r="189" spans="1:29" s="236" customFormat="1" x14ac:dyDescent="0.25">
      <c r="A189" s="232"/>
      <c r="B189" s="302">
        <v>183</v>
      </c>
      <c r="C189" s="295" t="s">
        <v>1423</v>
      </c>
      <c r="D189" s="232" t="s">
        <v>1424</v>
      </c>
      <c r="E189" s="232" t="s">
        <v>86</v>
      </c>
      <c r="F189" s="232" t="s">
        <v>87</v>
      </c>
      <c r="G189" s="295">
        <v>1</v>
      </c>
      <c r="H189" s="296" t="s">
        <v>1636</v>
      </c>
      <c r="I189" s="297" t="s">
        <v>1067</v>
      </c>
      <c r="J189" s="232" t="s">
        <v>841</v>
      </c>
      <c r="K189" s="233">
        <v>26000</v>
      </c>
      <c r="L189" s="284">
        <f>IF(K189&gt;=Datos!$D$14,(Datos!$D$14*Datos!$C$14),IF(K189&lt;=Datos!$D$14,(K189*Datos!$C$14)))</f>
        <v>746.2</v>
      </c>
      <c r="M189" s="284">
        <f>IF(K189&gt;=Datos!$D$15,(Datos!$D$15*Datos!$C$15),IF(K189&lt;=Datos!$D$15,(K189*Datos!$C$15)))</f>
        <v>790.4</v>
      </c>
      <c r="N189" s="231"/>
      <c r="O189" s="231">
        <f t="shared" si="21"/>
        <v>24463.4</v>
      </c>
      <c r="P189" s="223">
        <f>IF(O189&lt;=Datos!$G$7,"0",IF(O189&lt;=Datos!$G$8,(O189-Datos!$F$8)*Datos!$I$6,IF(O189&lt;=Datos!$G$9,Datos!$I$8+(O189-Datos!$F$9)*Datos!$J$6,IF(O189&gt;=Datos!$F$10,(Datos!$I$8+Datos!$J$8)+(O189-Datos!$F$10)*Datos!$K$6))))-W189</f>
        <v>0</v>
      </c>
      <c r="Q189" s="231">
        <f>IFERROR(VLOOKUP(C189,[1]Hoja1!$D$5:$E$58,2,FALSE),0)</f>
        <v>0</v>
      </c>
      <c r="R189" s="234"/>
      <c r="S189" s="234"/>
      <c r="T189" s="234"/>
      <c r="U189" s="234"/>
      <c r="V189" s="234">
        <v>25</v>
      </c>
      <c r="W189" s="231"/>
      <c r="X189" s="234">
        <f t="shared" si="17"/>
        <v>1561.6</v>
      </c>
      <c r="Y189" s="234">
        <f t="shared" si="16"/>
        <v>24438.400000000001</v>
      </c>
      <c r="Z189" s="296">
        <v>9606355140</v>
      </c>
      <c r="AA189" s="298">
        <v>45231</v>
      </c>
      <c r="AB189" s="235"/>
      <c r="AC189" s="264"/>
    </row>
    <row r="190" spans="1:29" s="236" customFormat="1" x14ac:dyDescent="0.25">
      <c r="A190" s="232"/>
      <c r="B190" s="302">
        <v>184</v>
      </c>
      <c r="C190" s="295" t="s">
        <v>437</v>
      </c>
      <c r="D190" s="297" t="s">
        <v>678</v>
      </c>
      <c r="E190" s="232" t="s">
        <v>86</v>
      </c>
      <c r="F190" s="232" t="s">
        <v>87</v>
      </c>
      <c r="G190" s="295">
        <v>1</v>
      </c>
      <c r="H190" s="296" t="s">
        <v>1212</v>
      </c>
      <c r="I190" s="297" t="s">
        <v>1062</v>
      </c>
      <c r="J190" s="232" t="s">
        <v>853</v>
      </c>
      <c r="K190" s="233">
        <v>37500</v>
      </c>
      <c r="L190" s="284">
        <f>IF(K190&gt;=Datos!$D$14,(Datos!$D$14*Datos!$C$14),IF(K190&lt;=Datos!$D$14,(K190*Datos!$C$14)))</f>
        <v>1076.25</v>
      </c>
      <c r="M190" s="284">
        <f>IF(K190&gt;=Datos!$D$15,(Datos!$D$15*Datos!$C$15),IF(K190&lt;=Datos!$D$15,(K190*Datos!$C$15)))</f>
        <v>1140</v>
      </c>
      <c r="N190" s="231"/>
      <c r="O190" s="231">
        <f t="shared" si="21"/>
        <v>35283.75</v>
      </c>
      <c r="P190" s="223">
        <f>IF(O190&lt;=Datos!$G$7,"0",IF(O190&lt;=Datos!$G$8,(O190-Datos!$F$8)*Datos!$I$6,IF(O190&lt;=Datos!$G$9,Datos!$I$8+(O190-Datos!$F$9)*Datos!$J$6,IF(O190&gt;=Datos!$F$10,(Datos!$I$8+Datos!$J$8)+(O190-Datos!$F$10)*Datos!$K$6))))-W190</f>
        <v>89.810999999999694</v>
      </c>
      <c r="Q190" s="231">
        <f>IFERROR(VLOOKUP(C190,[1]Hoja1!$D$5:$E$58,2,FALSE),0)</f>
        <v>0</v>
      </c>
      <c r="R190" s="234"/>
      <c r="S190" s="234"/>
      <c r="T190" s="234"/>
      <c r="U190" s="234"/>
      <c r="V190" s="234">
        <v>25</v>
      </c>
      <c r="W190" s="231"/>
      <c r="X190" s="234">
        <f t="shared" si="17"/>
        <v>2331.0609999999997</v>
      </c>
      <c r="Y190" s="234">
        <f t="shared" si="16"/>
        <v>35168.938999999998</v>
      </c>
      <c r="Z190" s="296" t="s">
        <v>198</v>
      </c>
      <c r="AA190" s="298">
        <v>44197</v>
      </c>
      <c r="AB190" s="235"/>
      <c r="AC190" s="264"/>
    </row>
    <row r="191" spans="1:29" s="236" customFormat="1" x14ac:dyDescent="0.25">
      <c r="A191" s="232"/>
      <c r="B191" s="302">
        <v>185</v>
      </c>
      <c r="C191" s="295" t="s">
        <v>1433</v>
      </c>
      <c r="D191" s="297" t="s">
        <v>1434</v>
      </c>
      <c r="E191" s="232" t="s">
        <v>85</v>
      </c>
      <c r="F191" s="232" t="s">
        <v>87</v>
      </c>
      <c r="G191" s="295">
        <v>1</v>
      </c>
      <c r="H191" s="296" t="s">
        <v>1548</v>
      </c>
      <c r="I191" s="297" t="s">
        <v>1067</v>
      </c>
      <c r="J191" s="232" t="s">
        <v>833</v>
      </c>
      <c r="K191" s="233">
        <v>17500</v>
      </c>
      <c r="L191" s="284">
        <f>IF(K191&gt;=Datos!$D$14,(Datos!$D$14*Datos!$C$14),IF(K191&lt;=Datos!$D$14,(K191*Datos!$C$14)))</f>
        <v>502.25</v>
      </c>
      <c r="M191" s="284">
        <f>IF(K191&gt;=Datos!$D$15,(Datos!$D$15*Datos!$C$15),IF(K191&lt;=Datos!$D$15,(K191*Datos!$C$15)))</f>
        <v>532</v>
      </c>
      <c r="N191" s="231"/>
      <c r="O191" s="231">
        <f t="shared" si="21"/>
        <v>16465.75</v>
      </c>
      <c r="P191" s="223">
        <f>IF(O191&lt;=Datos!$G$7,"0",IF(O191&lt;=Datos!$G$8,(O191-Datos!$F$8)*Datos!$I$6,IF(O191&lt;=Datos!$G$9,Datos!$I$8+(O191-Datos!$F$9)*Datos!$J$6,IF(O191&gt;=Datos!$F$10,(Datos!$I$8+Datos!$J$8)+(O191-Datos!$F$10)*Datos!$K$6))))-W191</f>
        <v>0</v>
      </c>
      <c r="Q191" s="231">
        <v>3013.05</v>
      </c>
      <c r="R191" s="234"/>
      <c r="S191" s="234"/>
      <c r="T191" s="234"/>
      <c r="U191" s="234"/>
      <c r="V191" s="234">
        <v>25</v>
      </c>
      <c r="W191" s="231"/>
      <c r="X191" s="234">
        <f t="shared" si="17"/>
        <v>4072.3</v>
      </c>
      <c r="Y191" s="234">
        <f t="shared" si="16"/>
        <v>13427.7</v>
      </c>
      <c r="Z191" s="296">
        <v>9606355152</v>
      </c>
      <c r="AA191" s="298">
        <v>45231</v>
      </c>
      <c r="AB191" s="235"/>
      <c r="AC191" s="264"/>
    </row>
    <row r="192" spans="1:29" s="236" customFormat="1" x14ac:dyDescent="0.25">
      <c r="A192" s="232"/>
      <c r="B192" s="302">
        <v>186</v>
      </c>
      <c r="C192" s="295" t="s">
        <v>438</v>
      </c>
      <c r="D192" s="232" t="s">
        <v>679</v>
      </c>
      <c r="E192" s="232" t="s">
        <v>85</v>
      </c>
      <c r="F192" s="232" t="s">
        <v>87</v>
      </c>
      <c r="G192" s="295">
        <v>5</v>
      </c>
      <c r="H192" s="296" t="s">
        <v>1210</v>
      </c>
      <c r="I192" s="297" t="s">
        <v>1062</v>
      </c>
      <c r="J192" s="232" t="s">
        <v>1116</v>
      </c>
      <c r="K192" s="233">
        <f>18000+7000+10000</f>
        <v>35000</v>
      </c>
      <c r="L192" s="284">
        <f>IF(K192&gt;=Datos!$D$14,(Datos!$D$14*Datos!$C$14),IF(K192&lt;=Datos!$D$14,(K192*Datos!$C$14)))</f>
        <v>1004.5</v>
      </c>
      <c r="M192" s="284">
        <f>IF(K192&gt;=Datos!$D$15,(Datos!$D$15*Datos!$C$15),IF(K192&lt;=Datos!$D$15,(K192*Datos!$C$15)))</f>
        <v>1064</v>
      </c>
      <c r="N192" s="231"/>
      <c r="O192" s="231">
        <f t="shared" si="21"/>
        <v>32931.5</v>
      </c>
      <c r="P192" s="223">
        <f>IF(O192&lt;=Datos!$G$7,"0",IF(O192&lt;=Datos!$G$8,(O192-Datos!$F$8)*Datos!$I$6,IF(O192&lt;=Datos!$G$9,Datos!$I$8+(O192-Datos!$F$9)*Datos!$J$6,IF(O192&gt;=Datos!$F$10,(Datos!$I$8+Datos!$J$8)+(O192-Datos!$F$10)*Datos!$K$6))))-W192</f>
        <v>0</v>
      </c>
      <c r="Q192" s="231">
        <f>IFERROR(VLOOKUP(C192,[1]Hoja1!$D$5:$E$58,2,FALSE),0)</f>
        <v>0</v>
      </c>
      <c r="R192" s="234"/>
      <c r="S192" s="234"/>
      <c r="T192" s="234"/>
      <c r="U192" s="234"/>
      <c r="V192" s="234">
        <v>25</v>
      </c>
      <c r="W192" s="231"/>
      <c r="X192" s="234">
        <f t="shared" si="17"/>
        <v>2093.5</v>
      </c>
      <c r="Y192" s="234">
        <f t="shared" si="16"/>
        <v>32906.5</v>
      </c>
      <c r="Z192" s="296" t="s">
        <v>199</v>
      </c>
      <c r="AA192" s="298">
        <v>44197</v>
      </c>
      <c r="AB192" s="235"/>
      <c r="AC192" s="264"/>
    </row>
    <row r="193" spans="1:29" s="236" customFormat="1" x14ac:dyDescent="0.25">
      <c r="A193" s="232"/>
      <c r="B193" s="302">
        <v>187</v>
      </c>
      <c r="C193" s="295" t="s">
        <v>439</v>
      </c>
      <c r="D193" s="232" t="s">
        <v>680</v>
      </c>
      <c r="E193" s="232" t="s">
        <v>85</v>
      </c>
      <c r="F193" s="232" t="s">
        <v>87</v>
      </c>
      <c r="G193" s="295">
        <v>1</v>
      </c>
      <c r="H193" s="296" t="s">
        <v>1548</v>
      </c>
      <c r="I193" s="297" t="s">
        <v>1060</v>
      </c>
      <c r="J193" s="232" t="s">
        <v>833</v>
      </c>
      <c r="K193" s="233">
        <v>13860</v>
      </c>
      <c r="L193" s="284">
        <f>IF(K193&gt;=Datos!$D$14,(Datos!$D$14*Datos!$C$14),IF(K193&lt;=Datos!$D$14,(K193*Datos!$C$14)))</f>
        <v>397.78199999999998</v>
      </c>
      <c r="M193" s="284">
        <f>IF(K193&gt;=Datos!$D$15,(Datos!$D$15*Datos!$C$15),IF(K193&lt;=Datos!$D$15,(K193*Datos!$C$15)))</f>
        <v>421.34399999999999</v>
      </c>
      <c r="N193" s="231"/>
      <c r="O193" s="231">
        <f t="shared" si="21"/>
        <v>13040.874</v>
      </c>
      <c r="P193" s="223">
        <f>IF(O193&lt;=Datos!$G$7,"0",IF(O193&lt;=Datos!$G$8,(O193-Datos!$F$8)*Datos!$I$6,IF(O193&lt;=Datos!$G$9,Datos!$I$8+(O193-Datos!$F$9)*Datos!$J$6,IF(O193&gt;=Datos!$F$10,(Datos!$I$8+Datos!$J$8)+(O193-Datos!$F$10)*Datos!$K$6))))-W193</f>
        <v>0</v>
      </c>
      <c r="Q193" s="231">
        <f>IFERROR(VLOOKUP(C193,[1]Hoja1!$D$5:$E$58,2,FALSE),0)</f>
        <v>0</v>
      </c>
      <c r="R193" s="234"/>
      <c r="S193" s="234"/>
      <c r="T193" s="234"/>
      <c r="U193" s="234"/>
      <c r="V193" s="234">
        <v>25</v>
      </c>
      <c r="W193" s="231"/>
      <c r="X193" s="234">
        <f t="shared" si="17"/>
        <v>844.12599999999998</v>
      </c>
      <c r="Y193" s="234">
        <f t="shared" si="16"/>
        <v>13015.874</v>
      </c>
      <c r="Z193" s="296" t="s">
        <v>200</v>
      </c>
      <c r="AA193" s="298">
        <v>44197</v>
      </c>
      <c r="AB193" s="235"/>
      <c r="AC193" s="264"/>
    </row>
    <row r="194" spans="1:29" s="236" customFormat="1" x14ac:dyDescent="0.25">
      <c r="A194" s="232"/>
      <c r="B194" s="302">
        <v>188</v>
      </c>
      <c r="C194" s="295" t="s">
        <v>440</v>
      </c>
      <c r="D194" s="232" t="s">
        <v>681</v>
      </c>
      <c r="E194" s="232" t="s">
        <v>85</v>
      </c>
      <c r="F194" s="232" t="s">
        <v>87</v>
      </c>
      <c r="G194" s="295">
        <v>5</v>
      </c>
      <c r="H194" s="296" t="s">
        <v>1210</v>
      </c>
      <c r="I194" s="297" t="s">
        <v>1061</v>
      </c>
      <c r="J194" s="232" t="s">
        <v>837</v>
      </c>
      <c r="K194" s="233">
        <f>57200+2800</f>
        <v>60000</v>
      </c>
      <c r="L194" s="284">
        <f>IF(K194&gt;=Datos!$D$14,(Datos!$D$14*Datos!$C$14),IF(K194&lt;=Datos!$D$14,(K194*Datos!$C$14)))</f>
        <v>1722</v>
      </c>
      <c r="M194" s="284">
        <f>IF(K194&gt;=Datos!$D$15,(Datos!$D$15*Datos!$C$15),IF(K194&lt;=Datos!$D$15,(K194*Datos!$C$15)))</f>
        <v>1824</v>
      </c>
      <c r="N194" s="231">
        <v>1715.46</v>
      </c>
      <c r="O194" s="231">
        <f t="shared" si="21"/>
        <v>54738.54</v>
      </c>
      <c r="P194" s="223">
        <f>IF(O194&lt;=Datos!$G$7,"0",IF(O194&lt;=Datos!$G$8,(O194-Datos!$F$8)*Datos!$I$6,IF(O194&lt;=Datos!$G$9,Datos!$I$8+(O194-Datos!$F$9)*Datos!$J$6,IF(O194&gt;=Datos!$F$10,(Datos!$I$8+Datos!$J$8)+(O194-Datos!$F$10)*Datos!$K$6))))-W194</f>
        <v>3143.5836666666664</v>
      </c>
      <c r="Q194" s="231">
        <f>IFERROR(VLOOKUP(C194,[1]Hoja1!$D$5:$E$58,2,FALSE),0)</f>
        <v>0</v>
      </c>
      <c r="R194" s="234"/>
      <c r="S194" s="234"/>
      <c r="T194" s="234"/>
      <c r="U194" s="234"/>
      <c r="V194" s="234">
        <v>25</v>
      </c>
      <c r="W194" s="231"/>
      <c r="X194" s="234">
        <f t="shared" si="17"/>
        <v>8430.0436666666665</v>
      </c>
      <c r="Y194" s="234">
        <f t="shared" si="16"/>
        <v>51569.956333333335</v>
      </c>
      <c r="Z194" s="296" t="s">
        <v>201</v>
      </c>
      <c r="AA194" s="298">
        <v>44197</v>
      </c>
      <c r="AB194" s="235"/>
      <c r="AC194" s="264"/>
    </row>
    <row r="195" spans="1:29" s="236" customFormat="1" x14ac:dyDescent="0.25">
      <c r="A195" s="232"/>
      <c r="B195" s="302">
        <v>189</v>
      </c>
      <c r="C195" s="295" t="s">
        <v>441</v>
      </c>
      <c r="D195" s="232" t="s">
        <v>682</v>
      </c>
      <c r="E195" s="232" t="s">
        <v>86</v>
      </c>
      <c r="F195" s="232" t="s">
        <v>87</v>
      </c>
      <c r="G195" s="295">
        <v>4</v>
      </c>
      <c r="H195" s="296" t="s">
        <v>1206</v>
      </c>
      <c r="I195" s="297" t="s">
        <v>1067</v>
      </c>
      <c r="J195" s="232" t="s">
        <v>836</v>
      </c>
      <c r="K195" s="233">
        <v>90000</v>
      </c>
      <c r="L195" s="284">
        <f>IF(K195&gt;=Datos!$D$14,(Datos!$D$14*Datos!$C$14),IF(K195&lt;=Datos!$D$14,(K195*Datos!$C$14)))</f>
        <v>2583</v>
      </c>
      <c r="M195" s="284">
        <f>IF(K195&gt;=Datos!$D$15,(Datos!$D$15*Datos!$C$15),IF(K195&lt;=Datos!$D$15,(K195*Datos!$C$15)))</f>
        <v>2736</v>
      </c>
      <c r="N195" s="231"/>
      <c r="O195" s="231">
        <f t="shared" si="21"/>
        <v>84681</v>
      </c>
      <c r="P195" s="223">
        <f>IF(O195&lt;=Datos!$G$7,"0",IF(O195&lt;=Datos!$G$8,(O195-Datos!$F$8)*Datos!$I$6,IF(O195&lt;=Datos!$G$9,Datos!$I$8+(O195-Datos!$F$9)*Datos!$J$6,IF(O195&gt;=Datos!$F$10,(Datos!$I$8+Datos!$J$8)+(O195-Datos!$F$10)*Datos!$K$6))))-W195</f>
        <v>9753.1106666666674</v>
      </c>
      <c r="Q195" s="231">
        <f>IFERROR(VLOOKUP(C195,[1]Hoja1!$D$5:$E$58,2,FALSE),0)</f>
        <v>0</v>
      </c>
      <c r="R195" s="234"/>
      <c r="S195" s="234"/>
      <c r="T195" s="234"/>
      <c r="U195" s="234"/>
      <c r="V195" s="234">
        <v>25</v>
      </c>
      <c r="W195" s="231"/>
      <c r="X195" s="234">
        <f t="shared" si="17"/>
        <v>15097.110666666667</v>
      </c>
      <c r="Y195" s="234">
        <f t="shared" si="16"/>
        <v>74902.889333333325</v>
      </c>
      <c r="Z195" s="296" t="s">
        <v>202</v>
      </c>
      <c r="AA195" s="298">
        <v>44197</v>
      </c>
      <c r="AB195" s="235"/>
      <c r="AC195" s="264"/>
    </row>
    <row r="196" spans="1:29" s="236" customFormat="1" x14ac:dyDescent="0.25">
      <c r="A196" s="232"/>
      <c r="B196" s="302">
        <v>190</v>
      </c>
      <c r="C196" s="295" t="s">
        <v>1071</v>
      </c>
      <c r="D196" s="232" t="s">
        <v>1072</v>
      </c>
      <c r="E196" s="232" t="s">
        <v>86</v>
      </c>
      <c r="F196" s="232" t="s">
        <v>87</v>
      </c>
      <c r="G196" s="295">
        <v>5</v>
      </c>
      <c r="H196" s="296" t="s">
        <v>1662</v>
      </c>
      <c r="I196" s="297" t="s">
        <v>1067</v>
      </c>
      <c r="J196" s="232" t="s">
        <v>1073</v>
      </c>
      <c r="K196" s="233">
        <v>60000</v>
      </c>
      <c r="L196" s="284">
        <f>IF(K196&gt;=Datos!$D$14,(Datos!$D$14*Datos!$C$14),IF(K196&lt;=Datos!$D$14,(K196*Datos!$C$14)))</f>
        <v>1722</v>
      </c>
      <c r="M196" s="284">
        <f>IF(K196&gt;=Datos!$D$15,(Datos!$D$15*Datos!$C$15),IF(K196&lt;=Datos!$D$15,(K196*Datos!$C$15)))</f>
        <v>1824</v>
      </c>
      <c r="N196" s="231">
        <f>1715.46*2</f>
        <v>3430.92</v>
      </c>
      <c r="O196" s="231">
        <f t="shared" si="21"/>
        <v>53023.08</v>
      </c>
      <c r="P196" s="223">
        <f>IF(O196&lt;=Datos!$G$7,"0",IF(O196&lt;=Datos!$G$8,(O196-Datos!$F$8)*Datos!$I$6,IF(O196&lt;=Datos!$G$9,Datos!$I$8+(O196-Datos!$F$9)*Datos!$J$6,IF(O196&gt;=Datos!$F$10,(Datos!$I$8+Datos!$J$8)+(O196-Datos!$F$10)*Datos!$K$6))))-W196</f>
        <v>2800.4916666666663</v>
      </c>
      <c r="Q196" s="231">
        <f>IFERROR(VLOOKUP(C196,[1]Hoja1!$D$5:$E$58,2,FALSE),0)</f>
        <v>0</v>
      </c>
      <c r="R196" s="234"/>
      <c r="S196" s="234"/>
      <c r="T196" s="234"/>
      <c r="U196" s="234"/>
      <c r="V196" s="234">
        <v>25</v>
      </c>
      <c r="W196" s="231"/>
      <c r="X196" s="234">
        <f t="shared" si="17"/>
        <v>9802.4116666666669</v>
      </c>
      <c r="Y196" s="234">
        <f t="shared" si="16"/>
        <v>50197.588333333333</v>
      </c>
      <c r="Z196" s="296"/>
      <c r="AA196" s="298">
        <v>44835</v>
      </c>
      <c r="AB196" s="235"/>
      <c r="AC196" s="264"/>
    </row>
    <row r="197" spans="1:29" s="236" customFormat="1" x14ac:dyDescent="0.25">
      <c r="A197" s="232"/>
      <c r="B197" s="302">
        <v>191</v>
      </c>
      <c r="C197" s="295" t="s">
        <v>987</v>
      </c>
      <c r="D197" s="232" t="s">
        <v>986</v>
      </c>
      <c r="E197" s="232" t="s">
        <v>86</v>
      </c>
      <c r="F197" s="232" t="s">
        <v>87</v>
      </c>
      <c r="G197" s="295">
        <v>1</v>
      </c>
      <c r="H197" s="296" t="s">
        <v>1827</v>
      </c>
      <c r="I197" s="297" t="s">
        <v>1062</v>
      </c>
      <c r="J197" s="232" t="s">
        <v>847</v>
      </c>
      <c r="K197" s="233">
        <f>17600+4900</f>
        <v>22500</v>
      </c>
      <c r="L197" s="284">
        <f>IF(K197&gt;=Datos!$D$14,(Datos!$D$14*Datos!$C$14),IF(K197&lt;=Datos!$D$14,(K197*Datos!$C$14)))</f>
        <v>645.75</v>
      </c>
      <c r="M197" s="284">
        <f>IF(K197&gt;=Datos!$D$15,(Datos!$D$15*Datos!$C$15),IF(K197&lt;=Datos!$D$15,(K197*Datos!$C$15)))</f>
        <v>684</v>
      </c>
      <c r="N197" s="231"/>
      <c r="O197" s="231">
        <f t="shared" si="21"/>
        <v>21170.25</v>
      </c>
      <c r="P197" s="223">
        <f>IF(O197&lt;=Datos!$G$7,"0",IF(O197&lt;=Datos!$G$8,(O197-Datos!$F$8)*Datos!$I$6,IF(O197&lt;=Datos!$G$9,Datos!$I$8+(O197-Datos!$F$9)*Datos!$J$6,IF(O197&gt;=Datos!$F$10,(Datos!$I$8+Datos!$J$8)+(O197-Datos!$F$10)*Datos!$K$6))))-W197</f>
        <v>0</v>
      </c>
      <c r="Q197" s="231">
        <f>IFERROR(VLOOKUP(C197,[1]Hoja1!$D$5:$E$58,2,FALSE),0)</f>
        <v>0</v>
      </c>
      <c r="R197" s="234"/>
      <c r="S197" s="234"/>
      <c r="T197" s="234"/>
      <c r="U197" s="234"/>
      <c r="V197" s="234">
        <v>25</v>
      </c>
      <c r="W197" s="231"/>
      <c r="X197" s="234">
        <f t="shared" si="17"/>
        <v>1354.75</v>
      </c>
      <c r="Y197" s="234">
        <f t="shared" si="16"/>
        <v>21145.25</v>
      </c>
      <c r="Z197" s="296"/>
      <c r="AA197" s="298">
        <v>44743</v>
      </c>
      <c r="AB197" s="235"/>
      <c r="AC197" s="264"/>
    </row>
    <row r="198" spans="1:29" s="236" customFormat="1" x14ac:dyDescent="0.25">
      <c r="A198" s="232"/>
      <c r="B198" s="302">
        <v>192</v>
      </c>
      <c r="C198" s="295" t="s">
        <v>442</v>
      </c>
      <c r="D198" s="232" t="s">
        <v>683</v>
      </c>
      <c r="E198" s="232" t="s">
        <v>86</v>
      </c>
      <c r="F198" s="232" t="s">
        <v>87</v>
      </c>
      <c r="G198" s="295">
        <v>1</v>
      </c>
      <c r="H198" s="296" t="s">
        <v>1827</v>
      </c>
      <c r="I198" s="297" t="s">
        <v>1060</v>
      </c>
      <c r="J198" s="232" t="s">
        <v>841</v>
      </c>
      <c r="K198" s="233">
        <v>33000</v>
      </c>
      <c r="L198" s="284">
        <f>IF(K198&gt;=Datos!$D$14,(Datos!$D$14*Datos!$C$14),IF(K198&lt;=Datos!$D$14,(K198*Datos!$C$14)))</f>
        <v>947.1</v>
      </c>
      <c r="M198" s="284">
        <f>IF(K198&gt;=Datos!$D$15,(Datos!$D$15*Datos!$C$15),IF(K198&lt;=Datos!$D$15,(K198*Datos!$C$15)))</f>
        <v>1003.2</v>
      </c>
      <c r="N198" s="284">
        <v>1715.46</v>
      </c>
      <c r="O198" s="231">
        <f t="shared" si="21"/>
        <v>29334.239999999998</v>
      </c>
      <c r="P198" s="223">
        <f>IF(O198&lt;=Datos!$G$7,"0",IF(O198&lt;=Datos!$G$8,(O198-Datos!$F$8)*Datos!$I$6,IF(O198&lt;=Datos!$G$9,Datos!$I$8+(O198-Datos!$F$9)*Datos!$J$6,IF(O198&gt;=Datos!$F$10,(Datos!$I$8+Datos!$J$8)+(O198-Datos!$F$10)*Datos!$K$6))))-W198</f>
        <v>0</v>
      </c>
      <c r="Q198" s="231">
        <f>IFERROR(VLOOKUP(C198,[1]Hoja1!$D$5:$E$58,2,FALSE),0)</f>
        <v>0</v>
      </c>
      <c r="R198" s="234"/>
      <c r="S198" s="234"/>
      <c r="T198" s="234"/>
      <c r="U198" s="234"/>
      <c r="V198" s="234">
        <v>25</v>
      </c>
      <c r="W198" s="231"/>
      <c r="X198" s="234">
        <f t="shared" si="17"/>
        <v>3690.76</v>
      </c>
      <c r="Y198" s="234">
        <f t="shared" si="16"/>
        <v>29309.239999999998</v>
      </c>
      <c r="Z198" s="296" t="s">
        <v>203</v>
      </c>
      <c r="AA198" s="298">
        <v>44197</v>
      </c>
      <c r="AB198" s="235"/>
      <c r="AC198" s="264"/>
    </row>
    <row r="199" spans="1:29" s="236" customFormat="1" x14ac:dyDescent="0.25">
      <c r="A199" s="232"/>
      <c r="B199" s="302">
        <v>193</v>
      </c>
      <c r="C199" s="295" t="s">
        <v>1475</v>
      </c>
      <c r="D199" s="232" t="s">
        <v>1476</v>
      </c>
      <c r="E199" s="232" t="s">
        <v>86</v>
      </c>
      <c r="F199" s="232" t="s">
        <v>87</v>
      </c>
      <c r="G199" s="295">
        <v>1</v>
      </c>
      <c r="H199" s="296" t="s">
        <v>1548</v>
      </c>
      <c r="I199" s="297" t="s">
        <v>1060</v>
      </c>
      <c r="J199" s="232" t="s">
        <v>842</v>
      </c>
      <c r="K199" s="233">
        <v>25000</v>
      </c>
      <c r="L199" s="284">
        <f>IF(K199&gt;=Datos!$D$14,(Datos!$D$14*Datos!$C$14),IF(K199&lt;=Datos!$D$14,(K199*Datos!$C$14)))</f>
        <v>717.5</v>
      </c>
      <c r="M199" s="284">
        <f>IF(K199&gt;=Datos!$D$15,(Datos!$D$15*Datos!$C$15),IF(K199&lt;=Datos!$D$15,(K199*Datos!$C$15)))</f>
        <v>760</v>
      </c>
      <c r="N199" s="284"/>
      <c r="O199" s="231">
        <f t="shared" si="21"/>
        <v>23522.5</v>
      </c>
      <c r="P199" s="223">
        <f>IF(O199&lt;=Datos!$G$7,"0",IF(O199&lt;=Datos!$G$8,(O199-Datos!$F$8)*Datos!$I$6,IF(O199&lt;=Datos!$G$9,Datos!$I$8+(O199-Datos!$F$9)*Datos!$J$6,IF(O199&gt;=Datos!$F$10,(Datos!$I$8+Datos!$J$8)+(O199-Datos!$F$10)*Datos!$K$6))))-W199</f>
        <v>0</v>
      </c>
      <c r="Q199" s="231">
        <f>IFERROR(VLOOKUP(C199,[1]Hoja1!$D$5:$E$58,2,FALSE),0)</f>
        <v>0</v>
      </c>
      <c r="R199" s="234"/>
      <c r="S199" s="234"/>
      <c r="T199" s="234"/>
      <c r="U199" s="234"/>
      <c r="V199" s="234">
        <v>25</v>
      </c>
      <c r="W199" s="231"/>
      <c r="X199" s="234">
        <f t="shared" si="17"/>
        <v>1502.5</v>
      </c>
      <c r="Y199" s="234">
        <f t="shared" si="16"/>
        <v>23497.5</v>
      </c>
      <c r="Z199" s="296"/>
      <c r="AA199" s="298">
        <v>45323</v>
      </c>
      <c r="AB199" s="235"/>
      <c r="AC199" s="264"/>
    </row>
    <row r="200" spans="1:29" s="236" customFormat="1" x14ac:dyDescent="0.25">
      <c r="A200" s="232"/>
      <c r="B200" s="302">
        <v>194</v>
      </c>
      <c r="C200" s="295" t="s">
        <v>443</v>
      </c>
      <c r="D200" s="232" t="s">
        <v>684</v>
      </c>
      <c r="E200" s="232" t="s">
        <v>86</v>
      </c>
      <c r="F200" s="232" t="s">
        <v>87</v>
      </c>
      <c r="G200" s="295">
        <v>1</v>
      </c>
      <c r="H200" s="296" t="s">
        <v>1502</v>
      </c>
      <c r="I200" s="297" t="s">
        <v>1062</v>
      </c>
      <c r="J200" s="232" t="s">
        <v>830</v>
      </c>
      <c r="K200" s="233">
        <f>35000+15000</f>
        <v>50000</v>
      </c>
      <c r="L200" s="284">
        <f>IF(K200&gt;=Datos!$D$14,(Datos!$D$14*Datos!$C$14),IF(K200&lt;=Datos!$D$14,(K200*Datos!$C$14)))</f>
        <v>1435</v>
      </c>
      <c r="M200" s="284">
        <f>IF(K200&gt;=Datos!$D$15,(Datos!$D$15*Datos!$C$15),IF(K200&lt;=Datos!$D$15,(K200*Datos!$C$15)))</f>
        <v>1520</v>
      </c>
      <c r="N200" s="231">
        <v>1715.46</v>
      </c>
      <c r="O200" s="231">
        <f t="shared" si="21"/>
        <v>45329.54</v>
      </c>
      <c r="P200" s="223">
        <f>IF(O200&lt;=Datos!$G$7,"0",IF(O200&lt;=Datos!$G$8,(O200-Datos!$F$8)*Datos!$I$6,IF(O200&lt;=Datos!$G$9,Datos!$I$8+(O200-Datos!$F$9)*Datos!$J$6,IF(O200&gt;=Datos!$F$10,(Datos!$I$8+Datos!$J$8)+(O200-Datos!$F$10)*Datos!$K$6))))-W200</f>
        <v>1596.6794999999997</v>
      </c>
      <c r="Q200" s="231">
        <f>IFERROR(VLOOKUP(C200,[1]Hoja1!$D$5:$E$58,2,FALSE),0)</f>
        <v>0</v>
      </c>
      <c r="R200" s="234"/>
      <c r="S200" s="234"/>
      <c r="T200" s="234"/>
      <c r="U200" s="234"/>
      <c r="V200" s="234">
        <v>25</v>
      </c>
      <c r="W200" s="231"/>
      <c r="X200" s="234">
        <f t="shared" si="17"/>
        <v>6292.1394999999993</v>
      </c>
      <c r="Y200" s="234">
        <f t="shared" si="16"/>
        <v>43707.860500000003</v>
      </c>
      <c r="Z200" s="296" t="s">
        <v>204</v>
      </c>
      <c r="AA200" s="298">
        <v>44197</v>
      </c>
      <c r="AB200" s="235"/>
      <c r="AC200" s="264"/>
    </row>
    <row r="201" spans="1:29" s="236" customFormat="1" x14ac:dyDescent="0.25">
      <c r="A201" s="232"/>
      <c r="B201" s="302">
        <v>195</v>
      </c>
      <c r="C201" s="295" t="s">
        <v>444</v>
      </c>
      <c r="D201" s="232" t="s">
        <v>685</v>
      </c>
      <c r="E201" s="232" t="s">
        <v>86</v>
      </c>
      <c r="F201" s="232" t="s">
        <v>87</v>
      </c>
      <c r="G201" s="295">
        <v>5</v>
      </c>
      <c r="H201" s="296" t="s">
        <v>1210</v>
      </c>
      <c r="I201" s="297" t="s">
        <v>1067</v>
      </c>
      <c r="J201" s="232" t="s">
        <v>1336</v>
      </c>
      <c r="K201" s="233">
        <f>29400+5600+25000</f>
        <v>60000</v>
      </c>
      <c r="L201" s="284">
        <f>IF(K201&gt;=Datos!$D$14,(Datos!$D$14*Datos!$C$14),IF(K201&lt;=Datos!$D$14,(K201*Datos!$C$14)))</f>
        <v>1722</v>
      </c>
      <c r="M201" s="284">
        <f>IF(K201&gt;=Datos!$D$15,(Datos!$D$15*Datos!$C$15),IF(K201&lt;=Datos!$D$15,(K201*Datos!$C$15)))</f>
        <v>1824</v>
      </c>
      <c r="N201" s="231"/>
      <c r="O201" s="231">
        <f t="shared" si="21"/>
        <v>56454</v>
      </c>
      <c r="P201" s="223">
        <f>IF(O201&lt;=Datos!$G$7,"0",IF(O201&lt;=Datos!$G$8,(O201-Datos!$F$8)*Datos!$I$6,IF(O201&lt;=Datos!$G$9,Datos!$I$8+(O201-Datos!$F$9)*Datos!$J$6,IF(O201&gt;=Datos!$F$10,(Datos!$I$8+Datos!$J$8)+(O201-Datos!$F$10)*Datos!$K$6))))-W201</f>
        <v>3486.6756666666661</v>
      </c>
      <c r="Q201" s="231">
        <f>IFERROR(VLOOKUP(C201,[1]Hoja1!$D$5:$E$58,2,FALSE),0)</f>
        <v>0</v>
      </c>
      <c r="R201" s="234"/>
      <c r="S201" s="234"/>
      <c r="T201" s="234"/>
      <c r="U201" s="234"/>
      <c r="V201" s="234">
        <v>25</v>
      </c>
      <c r="W201" s="231"/>
      <c r="X201" s="234">
        <f t="shared" si="17"/>
        <v>7057.6756666666661</v>
      </c>
      <c r="Y201" s="234">
        <f t="shared" si="16"/>
        <v>52942.324333333338</v>
      </c>
      <c r="Z201" s="296" t="s">
        <v>205</v>
      </c>
      <c r="AA201" s="298">
        <v>44197</v>
      </c>
      <c r="AB201" s="235"/>
      <c r="AC201" s="264"/>
    </row>
    <row r="202" spans="1:29" s="236" customFormat="1" x14ac:dyDescent="0.25">
      <c r="A202" s="232"/>
      <c r="B202" s="302">
        <v>196</v>
      </c>
      <c r="C202" s="295" t="s">
        <v>445</v>
      </c>
      <c r="D202" s="297" t="s">
        <v>686</v>
      </c>
      <c r="E202" s="232" t="s">
        <v>86</v>
      </c>
      <c r="F202" s="232" t="s">
        <v>87</v>
      </c>
      <c r="G202" s="295">
        <v>1</v>
      </c>
      <c r="H202" s="296" t="s">
        <v>1769</v>
      </c>
      <c r="I202" s="297" t="s">
        <v>1060</v>
      </c>
      <c r="J202" s="232" t="s">
        <v>861</v>
      </c>
      <c r="K202" s="233">
        <v>20000</v>
      </c>
      <c r="L202" s="284">
        <f>IF(K202&gt;=Datos!$D$14,(Datos!$D$14*Datos!$C$14),IF(K202&lt;=Datos!$D$14,(K202*Datos!$C$14)))</f>
        <v>574</v>
      </c>
      <c r="M202" s="284">
        <f>IF(K202&gt;=Datos!$D$15,(Datos!$D$15*Datos!$C$15),IF(K202&lt;=Datos!$D$15,(K202*Datos!$C$15)))</f>
        <v>608</v>
      </c>
      <c r="N202" s="231"/>
      <c r="O202" s="231">
        <f t="shared" si="21"/>
        <v>18818</v>
      </c>
      <c r="P202" s="223">
        <f>IF(O202&lt;=Datos!$G$7,"0",IF(O202&lt;=Datos!$G$8,(O202-Datos!$F$8)*Datos!$I$6,IF(O202&lt;=Datos!$G$9,Datos!$I$8+(O202-Datos!$F$9)*Datos!$J$6,IF(O202&gt;=Datos!$F$10,(Datos!$I$8+Datos!$J$8)+(O202-Datos!$F$10)*Datos!$K$6))))-W202</f>
        <v>0</v>
      </c>
      <c r="Q202" s="231">
        <f>IFERROR(VLOOKUP(C202,[1]Hoja1!$D$5:$E$58,2,FALSE),0)</f>
        <v>0</v>
      </c>
      <c r="R202" s="234"/>
      <c r="S202" s="234"/>
      <c r="T202" s="234"/>
      <c r="U202" s="234"/>
      <c r="V202" s="234">
        <v>25</v>
      </c>
      <c r="W202" s="231"/>
      <c r="X202" s="234">
        <f t="shared" si="17"/>
        <v>1207</v>
      </c>
      <c r="Y202" s="234">
        <f t="shared" si="16"/>
        <v>18793</v>
      </c>
      <c r="Z202" s="296" t="s">
        <v>206</v>
      </c>
      <c r="AA202" s="298">
        <v>44197</v>
      </c>
      <c r="AB202" s="235"/>
      <c r="AC202" s="264"/>
    </row>
    <row r="203" spans="1:29" s="236" customFormat="1" x14ac:dyDescent="0.25">
      <c r="A203" s="232"/>
      <c r="B203" s="302">
        <v>197</v>
      </c>
      <c r="C203" s="295" t="s">
        <v>446</v>
      </c>
      <c r="D203" s="232" t="s">
        <v>687</v>
      </c>
      <c r="E203" s="232" t="s">
        <v>86</v>
      </c>
      <c r="F203" s="232" t="s">
        <v>87</v>
      </c>
      <c r="G203" s="295">
        <v>1</v>
      </c>
      <c r="H203" s="296" t="s">
        <v>1685</v>
      </c>
      <c r="I203" s="297" t="s">
        <v>1060</v>
      </c>
      <c r="J203" s="232" t="s">
        <v>834</v>
      </c>
      <c r="K203" s="233">
        <f>31500+3500</f>
        <v>35000</v>
      </c>
      <c r="L203" s="284">
        <f>IF(K203&gt;=Datos!$D$14,(Datos!$D$14*Datos!$C$14),IF(K203&lt;=Datos!$D$14,(K203*Datos!$C$14)))</f>
        <v>1004.5</v>
      </c>
      <c r="M203" s="284">
        <f>IF(K203&gt;=Datos!$D$15,(Datos!$D$15*Datos!$C$15),IF(K203&lt;=Datos!$D$15,(K203*Datos!$C$15)))</f>
        <v>1064</v>
      </c>
      <c r="N203" s="231"/>
      <c r="O203" s="231">
        <f t="shared" si="21"/>
        <v>32931.5</v>
      </c>
      <c r="P203" s="223">
        <f>IF(O203&lt;=Datos!$G$7,"0",IF(O203&lt;=Datos!$G$8,(O203-Datos!$F$8)*Datos!$I$6,IF(O203&lt;=Datos!$G$9,Datos!$I$8+(O203-Datos!$F$9)*Datos!$J$6,IF(O203&gt;=Datos!$F$10,(Datos!$I$8+Datos!$J$8)+(O203-Datos!$F$10)*Datos!$K$6))))-W203</f>
        <v>0</v>
      </c>
      <c r="Q203" s="231">
        <f>IFERROR(VLOOKUP(C203,[1]Hoja1!$D$5:$E$58,2,FALSE),0)</f>
        <v>0</v>
      </c>
      <c r="R203" s="234"/>
      <c r="S203" s="234"/>
      <c r="T203" s="234"/>
      <c r="U203" s="234"/>
      <c r="V203" s="234">
        <v>25</v>
      </c>
      <c r="W203" s="231"/>
      <c r="X203" s="234">
        <f t="shared" si="17"/>
        <v>2093.5</v>
      </c>
      <c r="Y203" s="234">
        <f t="shared" si="16"/>
        <v>32906.5</v>
      </c>
      <c r="Z203" s="296" t="s">
        <v>207</v>
      </c>
      <c r="AA203" s="298">
        <v>44197</v>
      </c>
      <c r="AB203" s="235"/>
      <c r="AC203" s="264"/>
    </row>
    <row r="204" spans="1:29" s="236" customFormat="1" x14ac:dyDescent="0.25">
      <c r="A204" s="232"/>
      <c r="B204" s="302">
        <v>198</v>
      </c>
      <c r="C204" s="295" t="s">
        <v>447</v>
      </c>
      <c r="D204" s="232" t="s">
        <v>688</v>
      </c>
      <c r="E204" s="232" t="s">
        <v>86</v>
      </c>
      <c r="F204" s="232" t="s">
        <v>87</v>
      </c>
      <c r="G204" s="295">
        <v>5</v>
      </c>
      <c r="H204" s="296" t="s">
        <v>1210</v>
      </c>
      <c r="I204" s="297" t="s">
        <v>1060</v>
      </c>
      <c r="J204" s="232" t="s">
        <v>837</v>
      </c>
      <c r="K204" s="233">
        <f>50000+10000</f>
        <v>60000</v>
      </c>
      <c r="L204" s="284">
        <f>IF(K204&gt;=Datos!$D$14,(Datos!$D$14*Datos!$C$14),IF(K204&lt;=Datos!$D$14,(K204*Datos!$C$14)))</f>
        <v>1722</v>
      </c>
      <c r="M204" s="284">
        <f>IF(K204&gt;=Datos!$D$15,(Datos!$D$15*Datos!$C$15),IF(K204&lt;=Datos!$D$15,(K204*Datos!$C$15)))</f>
        <v>1824</v>
      </c>
      <c r="N204" s="231"/>
      <c r="O204" s="231">
        <f t="shared" ref="O204:O205" si="22">K204-(L204+M204+N204)</f>
        <v>56454</v>
      </c>
      <c r="P204" s="223">
        <f>IF(O204&lt;=Datos!$G$7,"0",IF(O204&lt;=Datos!$G$8,(O204-Datos!$F$8)*Datos!$I$6,IF(O204&lt;=Datos!$G$9,Datos!$I$8+(O204-Datos!$F$9)*Datos!$J$6,IF(O204&gt;=Datos!$F$10,(Datos!$I$8+Datos!$J$8)+(O204-Datos!$F$10)*Datos!$K$6))))-W204</f>
        <v>3486.6756666666661</v>
      </c>
      <c r="Q204" s="231">
        <f>IFERROR(VLOOKUP(C204,[1]Hoja1!$D$5:$E$58,2,FALSE),0)</f>
        <v>0</v>
      </c>
      <c r="R204" s="234"/>
      <c r="S204" s="234"/>
      <c r="T204" s="234"/>
      <c r="U204" s="234"/>
      <c r="V204" s="234">
        <v>25</v>
      </c>
      <c r="W204" s="231"/>
      <c r="X204" s="234">
        <f t="shared" si="17"/>
        <v>7057.6756666666661</v>
      </c>
      <c r="Y204" s="234">
        <f t="shared" si="16"/>
        <v>52942.324333333338</v>
      </c>
      <c r="Z204" s="296" t="s">
        <v>208</v>
      </c>
      <c r="AA204" s="298">
        <v>44197</v>
      </c>
      <c r="AB204" s="235"/>
      <c r="AC204" s="264"/>
    </row>
    <row r="205" spans="1:29" s="236" customFormat="1" x14ac:dyDescent="0.25">
      <c r="A205" s="232"/>
      <c r="B205" s="302">
        <v>199</v>
      </c>
      <c r="C205" s="295" t="s">
        <v>1851</v>
      </c>
      <c r="D205" s="232" t="s">
        <v>1852</v>
      </c>
      <c r="E205" s="232" t="s">
        <v>86</v>
      </c>
      <c r="F205" s="232" t="s">
        <v>87</v>
      </c>
      <c r="G205" s="295">
        <v>1</v>
      </c>
      <c r="H205" s="296" t="s">
        <v>1575</v>
      </c>
      <c r="I205" s="297" t="s">
        <v>1187</v>
      </c>
      <c r="J205" s="232" t="s">
        <v>1576</v>
      </c>
      <c r="K205" s="233">
        <v>65000</v>
      </c>
      <c r="L205" s="284">
        <f>IF(K205&gt;=Datos!$D$14,(Datos!$D$14*Datos!$C$14),IF(K205&lt;=Datos!$D$14,(K205*Datos!$C$14)))</f>
        <v>1865.5</v>
      </c>
      <c r="M205" s="284">
        <f>IF(K205&gt;=Datos!$D$15,(Datos!$D$15*Datos!$C$15),IF(K205&lt;=Datos!$D$15,(K205*Datos!$C$15)))</f>
        <v>1976</v>
      </c>
      <c r="N205" s="231"/>
      <c r="O205" s="231">
        <f t="shared" si="22"/>
        <v>61158.5</v>
      </c>
      <c r="P205" s="223">
        <f>IF(O205&lt;=Datos!$G$7,"0",IF(O205&lt;=Datos!$G$8,(O205-Datos!$F$8)*Datos!$I$6,IF(O205&lt;=Datos!$G$9,Datos!$I$8+(O205-Datos!$F$9)*Datos!$J$6,IF(O205&gt;=Datos!$F$10,(Datos!$I$8+Datos!$J$8)+(O205-Datos!$F$10)*Datos!$K$6))))-W205</f>
        <v>4427.5756666666657</v>
      </c>
      <c r="Q205" s="231"/>
      <c r="R205" s="234"/>
      <c r="S205" s="234"/>
      <c r="T205" s="234"/>
      <c r="U205" s="234"/>
      <c r="V205" s="234">
        <v>25</v>
      </c>
      <c r="W205" s="231"/>
      <c r="X205" s="234">
        <f t="shared" ref="X205" si="23">SUM(P205:V205)+(L205+M205+N205)-W205</f>
        <v>8294.0756666666657</v>
      </c>
      <c r="Y205" s="234">
        <f t="shared" ref="Y205" si="24">+K205-X205</f>
        <v>56705.924333333336</v>
      </c>
      <c r="Z205" s="296">
        <v>9607759054</v>
      </c>
      <c r="AA205" s="298">
        <v>45627</v>
      </c>
      <c r="AB205" s="235"/>
      <c r="AC205" s="264"/>
    </row>
    <row r="206" spans="1:29" s="236" customFormat="1" x14ac:dyDescent="0.25">
      <c r="A206" s="232"/>
      <c r="B206" s="302">
        <v>200</v>
      </c>
      <c r="C206" s="295" t="s">
        <v>1468</v>
      </c>
      <c r="D206" s="297" t="s">
        <v>1378</v>
      </c>
      <c r="E206" s="232" t="s">
        <v>86</v>
      </c>
      <c r="F206" s="232" t="s">
        <v>87</v>
      </c>
      <c r="G206" s="295">
        <v>5</v>
      </c>
      <c r="H206" s="296" t="s">
        <v>1210</v>
      </c>
      <c r="I206" s="297" t="s">
        <v>1061</v>
      </c>
      <c r="J206" s="232" t="s">
        <v>1395</v>
      </c>
      <c r="K206" s="233">
        <v>35000</v>
      </c>
      <c r="L206" s="284">
        <f>IF(K206&gt;=Datos!$D$14,(Datos!$D$14*Datos!$C$14),IF(K206&lt;=Datos!$D$14,(K206*Datos!$C$14)))</f>
        <v>1004.5</v>
      </c>
      <c r="M206" s="284">
        <f>IF(K206&gt;=Datos!$D$15,(Datos!$D$15*Datos!$C$15),IF(K206&lt;=Datos!$D$15,(K206*Datos!$C$15)))</f>
        <v>1064</v>
      </c>
      <c r="N206" s="231"/>
      <c r="O206" s="231">
        <f t="shared" si="21"/>
        <v>32931.5</v>
      </c>
      <c r="P206" s="223">
        <f>IF(O206&lt;=Datos!$G$7,"0",IF(O206&lt;=Datos!$G$8,(O206-Datos!$F$8)*Datos!$I$6,IF(O206&lt;=Datos!$G$9,Datos!$I$8+(O206-Datos!$F$9)*Datos!$J$6,IF(O206&gt;=Datos!$F$10,(Datos!$I$8+Datos!$J$8)+(O206-Datos!$F$10)*Datos!$K$6))))-W206</f>
        <v>0</v>
      </c>
      <c r="Q206" s="231">
        <f>IFERROR(VLOOKUP(C206,[1]Hoja1!$D$5:$E$58,2,FALSE),0)</f>
        <v>0</v>
      </c>
      <c r="R206" s="234"/>
      <c r="S206" s="234"/>
      <c r="T206" s="234"/>
      <c r="U206" s="234"/>
      <c r="V206" s="234">
        <v>25</v>
      </c>
      <c r="W206" s="231"/>
      <c r="X206" s="234">
        <f t="shared" si="17"/>
        <v>2093.5</v>
      </c>
      <c r="Y206" s="234">
        <f t="shared" si="16"/>
        <v>32906.5</v>
      </c>
      <c r="Z206" s="296">
        <v>9606252892</v>
      </c>
      <c r="AA206" s="298">
        <v>45200</v>
      </c>
      <c r="AB206" s="235"/>
      <c r="AC206" s="264"/>
    </row>
    <row r="207" spans="1:29" s="236" customFormat="1" x14ac:dyDescent="0.25">
      <c r="A207" s="232"/>
      <c r="B207" s="302">
        <v>201</v>
      </c>
      <c r="C207" s="295" t="s">
        <v>448</v>
      </c>
      <c r="D207" s="232" t="s">
        <v>689</v>
      </c>
      <c r="E207" s="232" t="s">
        <v>85</v>
      </c>
      <c r="F207" s="232" t="s">
        <v>87</v>
      </c>
      <c r="G207" s="295">
        <v>5</v>
      </c>
      <c r="H207" s="296" t="s">
        <v>1210</v>
      </c>
      <c r="I207" s="297" t="s">
        <v>1061</v>
      </c>
      <c r="J207" s="232" t="s">
        <v>832</v>
      </c>
      <c r="K207" s="233">
        <f>20000+15000</f>
        <v>35000</v>
      </c>
      <c r="L207" s="284">
        <f>IF(K207&gt;=Datos!$D$14,(Datos!$D$14*Datos!$C$14),IF(K207&lt;=Datos!$D$14,(K207*Datos!$C$14)))</f>
        <v>1004.5</v>
      </c>
      <c r="M207" s="284">
        <f>IF(K207&gt;=Datos!$D$15,(Datos!$D$15*Datos!$C$15),IF(K207&lt;=Datos!$D$15,(K207*Datos!$C$15)))</f>
        <v>1064</v>
      </c>
      <c r="N207" s="231"/>
      <c r="O207" s="231">
        <f t="shared" si="21"/>
        <v>32931.5</v>
      </c>
      <c r="P207" s="223">
        <f>IF(O207&lt;=Datos!$G$7,"0",IF(O207&lt;=Datos!$G$8,(O207-Datos!$F$8)*Datos!$I$6,IF(O207&lt;=Datos!$G$9,Datos!$I$8+(O207-Datos!$F$9)*Datos!$J$6,IF(O207&gt;=Datos!$F$10,(Datos!$I$8+Datos!$J$8)+(O207-Datos!$F$10)*Datos!$K$6))))-W207</f>
        <v>0</v>
      </c>
      <c r="Q207" s="231">
        <f>IFERROR(VLOOKUP(C207,[1]Hoja1!$D$5:$E$58,2,FALSE),0)</f>
        <v>0</v>
      </c>
      <c r="R207" s="234"/>
      <c r="S207" s="234"/>
      <c r="T207" s="234"/>
      <c r="U207" s="234"/>
      <c r="V207" s="234">
        <v>25</v>
      </c>
      <c r="W207" s="231"/>
      <c r="X207" s="234">
        <f t="shared" si="17"/>
        <v>2093.5</v>
      </c>
      <c r="Y207" s="234">
        <f t="shared" si="16"/>
        <v>32906.5</v>
      </c>
      <c r="Z207" s="296" t="s">
        <v>209</v>
      </c>
      <c r="AA207" s="298">
        <v>44511</v>
      </c>
      <c r="AB207" s="235"/>
      <c r="AC207" s="264"/>
    </row>
    <row r="208" spans="1:29" s="236" customFormat="1" x14ac:dyDescent="0.25">
      <c r="A208" s="232"/>
      <c r="B208" s="302">
        <v>202</v>
      </c>
      <c r="C208" s="295" t="s">
        <v>449</v>
      </c>
      <c r="D208" s="297" t="s">
        <v>690</v>
      </c>
      <c r="E208" s="232" t="s">
        <v>86</v>
      </c>
      <c r="F208" s="232" t="s">
        <v>87</v>
      </c>
      <c r="G208" s="295">
        <v>1</v>
      </c>
      <c r="H208" s="296" t="s">
        <v>1548</v>
      </c>
      <c r="I208" s="297" t="s">
        <v>1061</v>
      </c>
      <c r="J208" s="232" t="s">
        <v>842</v>
      </c>
      <c r="K208" s="233">
        <v>25000</v>
      </c>
      <c r="L208" s="284">
        <f>IF(K208&gt;=Datos!$D$14,(Datos!$D$14*Datos!$C$14),IF(K208&lt;=Datos!$D$14,(K208*Datos!$C$14)))</f>
        <v>717.5</v>
      </c>
      <c r="M208" s="284">
        <f>IF(K208&gt;=Datos!$D$15,(Datos!$D$15*Datos!$C$15),IF(K208&lt;=Datos!$D$15,(K208*Datos!$C$15)))</f>
        <v>760</v>
      </c>
      <c r="N208" s="231"/>
      <c r="O208" s="231">
        <f t="shared" si="21"/>
        <v>23522.5</v>
      </c>
      <c r="P208" s="223">
        <f>IF(O208&lt;=Datos!$G$7,"0",IF(O208&lt;=Datos!$G$8,(O208-Datos!$F$8)*Datos!$I$6,IF(O208&lt;=Datos!$G$9,Datos!$I$8+(O208-Datos!$F$9)*Datos!$J$6,IF(O208&gt;=Datos!$F$10,(Datos!$I$8+Datos!$J$8)+(O208-Datos!$F$10)*Datos!$K$6))))-W208</f>
        <v>0</v>
      </c>
      <c r="Q208" s="231">
        <v>3073.42</v>
      </c>
      <c r="R208" s="234"/>
      <c r="S208" s="234"/>
      <c r="T208" s="234"/>
      <c r="U208" s="234"/>
      <c r="V208" s="234">
        <v>25</v>
      </c>
      <c r="W208" s="231"/>
      <c r="X208" s="234">
        <f t="shared" si="17"/>
        <v>4575.92</v>
      </c>
      <c r="Y208" s="234">
        <f t="shared" si="16"/>
        <v>20424.080000000002</v>
      </c>
      <c r="Z208" s="296" t="s">
        <v>210</v>
      </c>
      <c r="AA208" s="298">
        <v>44197</v>
      </c>
      <c r="AB208" s="235"/>
      <c r="AC208" s="264"/>
    </row>
    <row r="209" spans="1:29" s="236" customFormat="1" x14ac:dyDescent="0.25">
      <c r="A209" s="232"/>
      <c r="B209" s="302">
        <v>203</v>
      </c>
      <c r="C209" s="295" t="s">
        <v>450</v>
      </c>
      <c r="D209" s="232" t="s">
        <v>691</v>
      </c>
      <c r="E209" s="232" t="s">
        <v>86</v>
      </c>
      <c r="F209" s="232" t="s">
        <v>87</v>
      </c>
      <c r="G209" s="295">
        <v>1</v>
      </c>
      <c r="H209" s="296" t="s">
        <v>1685</v>
      </c>
      <c r="I209" s="297" t="s">
        <v>1061</v>
      </c>
      <c r="J209" s="232" t="s">
        <v>834</v>
      </c>
      <c r="K209" s="233">
        <f>28350+6650</f>
        <v>35000</v>
      </c>
      <c r="L209" s="284">
        <f>IF(K209&gt;=Datos!$D$14,(Datos!$D$14*Datos!$C$14),IF(K209&lt;=Datos!$D$14,(K209*Datos!$C$14)))</f>
        <v>1004.5</v>
      </c>
      <c r="M209" s="284">
        <f>IF(K209&gt;=Datos!$D$15,(Datos!$D$15*Datos!$C$15),IF(K209&lt;=Datos!$D$15,(K209*Datos!$C$15)))</f>
        <v>1064</v>
      </c>
      <c r="N209" s="231"/>
      <c r="O209" s="231">
        <f t="shared" si="21"/>
        <v>32931.5</v>
      </c>
      <c r="P209" s="223">
        <f>IF(O209&lt;=Datos!$G$7,"0",IF(O209&lt;=Datos!$G$8,(O209-Datos!$F$8)*Datos!$I$6,IF(O209&lt;=Datos!$G$9,Datos!$I$8+(O209-Datos!$F$9)*Datos!$J$6,IF(O209&gt;=Datos!$F$10,(Datos!$I$8+Datos!$J$8)+(O209-Datos!$F$10)*Datos!$K$6))))-W209</f>
        <v>0</v>
      </c>
      <c r="Q209" s="231">
        <f>IFERROR(VLOOKUP(C209,[1]Hoja1!$D$5:$E$58,2,FALSE),0)</f>
        <v>0</v>
      </c>
      <c r="R209" s="234"/>
      <c r="S209" s="234"/>
      <c r="T209" s="234"/>
      <c r="U209" s="234"/>
      <c r="V209" s="234">
        <v>25</v>
      </c>
      <c r="W209" s="231"/>
      <c r="X209" s="234">
        <f t="shared" si="17"/>
        <v>2093.5</v>
      </c>
      <c r="Y209" s="234">
        <f t="shared" si="16"/>
        <v>32906.5</v>
      </c>
      <c r="Z209" s="296" t="s">
        <v>211</v>
      </c>
      <c r="AA209" s="298">
        <v>44197</v>
      </c>
      <c r="AB209" s="235"/>
      <c r="AC209" s="264"/>
    </row>
    <row r="210" spans="1:29" s="236" customFormat="1" x14ac:dyDescent="0.25">
      <c r="A210" s="232"/>
      <c r="B210" s="302">
        <v>204</v>
      </c>
      <c r="C210" s="295" t="s">
        <v>451</v>
      </c>
      <c r="D210" s="297" t="s">
        <v>692</v>
      </c>
      <c r="E210" s="232" t="s">
        <v>86</v>
      </c>
      <c r="F210" s="232" t="s">
        <v>87</v>
      </c>
      <c r="G210" s="295">
        <v>1</v>
      </c>
      <c r="H210" s="296" t="s">
        <v>1769</v>
      </c>
      <c r="I210" s="297" t="s">
        <v>1061</v>
      </c>
      <c r="J210" s="232" t="s">
        <v>861</v>
      </c>
      <c r="K210" s="233">
        <v>20000</v>
      </c>
      <c r="L210" s="284">
        <f>IF(K210&gt;=Datos!$D$14,(Datos!$D$14*Datos!$C$14),IF(K210&lt;=Datos!$D$14,(K210*Datos!$C$14)))</f>
        <v>574</v>
      </c>
      <c r="M210" s="284">
        <f>IF(K210&gt;=Datos!$D$15,(Datos!$D$15*Datos!$C$15),IF(K210&lt;=Datos!$D$15,(K210*Datos!$C$15)))</f>
        <v>608</v>
      </c>
      <c r="N210" s="231"/>
      <c r="O210" s="231">
        <f t="shared" si="21"/>
        <v>18818</v>
      </c>
      <c r="P210" s="223">
        <f>IF(O210&lt;=Datos!$G$7,"0",IF(O210&lt;=Datos!$G$8,(O210-Datos!$F$8)*Datos!$I$6,IF(O210&lt;=Datos!$G$9,Datos!$I$8+(O210-Datos!$F$9)*Datos!$J$6,IF(O210&gt;=Datos!$F$10,(Datos!$I$8+Datos!$J$8)+(O210-Datos!$F$10)*Datos!$K$6))))-W210</f>
        <v>0</v>
      </c>
      <c r="Q210" s="231">
        <v>8451.73</v>
      </c>
      <c r="R210" s="234"/>
      <c r="S210" s="234"/>
      <c r="T210" s="234"/>
      <c r="U210" s="234"/>
      <c r="V210" s="234">
        <v>25</v>
      </c>
      <c r="W210" s="231"/>
      <c r="X210" s="234">
        <f t="shared" si="17"/>
        <v>9658.73</v>
      </c>
      <c r="Y210" s="234">
        <f t="shared" si="16"/>
        <v>10341.27</v>
      </c>
      <c r="Z210" s="296" t="s">
        <v>212</v>
      </c>
      <c r="AA210" s="298">
        <v>44197</v>
      </c>
      <c r="AB210" s="235"/>
      <c r="AC210" s="264"/>
    </row>
    <row r="211" spans="1:29" s="236" customFormat="1" x14ac:dyDescent="0.25">
      <c r="A211" s="232"/>
      <c r="B211" s="302">
        <v>205</v>
      </c>
      <c r="C211" s="295" t="s">
        <v>1369</v>
      </c>
      <c r="D211" s="297" t="s">
        <v>1392</v>
      </c>
      <c r="E211" s="232" t="s">
        <v>86</v>
      </c>
      <c r="F211" s="232" t="s">
        <v>87</v>
      </c>
      <c r="G211" s="295">
        <v>1</v>
      </c>
      <c r="H211" s="296" t="s">
        <v>1548</v>
      </c>
      <c r="I211" s="297" t="s">
        <v>1060</v>
      </c>
      <c r="J211" s="232" t="s">
        <v>833</v>
      </c>
      <c r="K211" s="233">
        <v>17500</v>
      </c>
      <c r="L211" s="284">
        <f>IF(K211&gt;=Datos!$D$14,(Datos!$D$14*Datos!$C$14),IF(K211&lt;=Datos!$D$14,(K211*Datos!$C$14)))</f>
        <v>502.25</v>
      </c>
      <c r="M211" s="284">
        <f>IF(K211&gt;=Datos!$D$15,(Datos!$D$15*Datos!$C$15),IF(K211&lt;=Datos!$D$15,(K211*Datos!$C$15)))</f>
        <v>532</v>
      </c>
      <c r="N211" s="231"/>
      <c r="O211" s="231">
        <f t="shared" si="21"/>
        <v>16465.75</v>
      </c>
      <c r="P211" s="223">
        <f>IF(O211&lt;=Datos!$G$7,"0",IF(O211&lt;=Datos!$G$8,(O211-Datos!$F$8)*Datos!$I$6,IF(O211&lt;=Datos!$G$9,Datos!$I$8+(O211-Datos!$F$9)*Datos!$J$6,IF(O211&gt;=Datos!$F$10,(Datos!$I$8+Datos!$J$8)+(O211-Datos!$F$10)*Datos!$K$6))))-W211</f>
        <v>0</v>
      </c>
      <c r="Q211" s="231">
        <f>IFERROR(VLOOKUP(C211,[1]Hoja1!$D$5:$E$58,2,FALSE),0)</f>
        <v>0</v>
      </c>
      <c r="R211" s="234"/>
      <c r="S211" s="234"/>
      <c r="T211" s="234"/>
      <c r="U211" s="234"/>
      <c r="V211" s="234">
        <v>25</v>
      </c>
      <c r="W211" s="231"/>
      <c r="X211" s="234">
        <f t="shared" si="17"/>
        <v>1059.25</v>
      </c>
      <c r="Y211" s="234">
        <f t="shared" si="16"/>
        <v>16440.75</v>
      </c>
      <c r="Z211" s="296">
        <v>9606252880</v>
      </c>
      <c r="AA211" s="298">
        <v>45200</v>
      </c>
      <c r="AB211" s="235"/>
      <c r="AC211" s="264"/>
    </row>
    <row r="212" spans="1:29" s="236" customFormat="1" x14ac:dyDescent="0.25">
      <c r="A212" s="232"/>
      <c r="B212" s="302">
        <v>206</v>
      </c>
      <c r="C212" s="295" t="s">
        <v>452</v>
      </c>
      <c r="D212" s="232" t="s">
        <v>693</v>
      </c>
      <c r="E212" s="232" t="s">
        <v>85</v>
      </c>
      <c r="F212" s="232" t="s">
        <v>87</v>
      </c>
      <c r="G212" s="295">
        <v>1</v>
      </c>
      <c r="H212" s="296" t="s">
        <v>1548</v>
      </c>
      <c r="I212" s="297" t="s">
        <v>1060</v>
      </c>
      <c r="J212" s="232" t="s">
        <v>1023</v>
      </c>
      <c r="K212" s="233">
        <v>26000</v>
      </c>
      <c r="L212" s="284">
        <f>IF(K212&gt;=Datos!$D$14,(Datos!$D$14*Datos!$C$14),IF(K212&lt;=Datos!$D$14,(K212*Datos!$C$14)))</f>
        <v>746.2</v>
      </c>
      <c r="M212" s="284">
        <f>IF(K212&gt;=Datos!$D$15,(Datos!$D$15*Datos!$C$15),IF(K212&lt;=Datos!$D$15,(K212*Datos!$C$15)))</f>
        <v>790.4</v>
      </c>
      <c r="N212" s="231"/>
      <c r="O212" s="231">
        <f t="shared" si="21"/>
        <v>24463.4</v>
      </c>
      <c r="P212" s="223">
        <f>IF(O212&lt;=Datos!$G$7,"0",IF(O212&lt;=Datos!$G$8,(O212-Datos!$F$8)*Datos!$I$6,IF(O212&lt;=Datos!$G$9,Datos!$I$8+(O212-Datos!$F$9)*Datos!$J$6,IF(O212&gt;=Datos!$F$10,(Datos!$I$8+Datos!$J$8)+(O212-Datos!$F$10)*Datos!$K$6))))-W212</f>
        <v>0</v>
      </c>
      <c r="Q212" s="231">
        <f>IFERROR(VLOOKUP(C212,[1]Hoja1!$D$5:$E$58,2,FALSE),0)</f>
        <v>0</v>
      </c>
      <c r="R212" s="234"/>
      <c r="S212" s="234"/>
      <c r="T212" s="234"/>
      <c r="U212" s="234"/>
      <c r="V212" s="234">
        <v>25</v>
      </c>
      <c r="W212" s="231"/>
      <c r="X212" s="234">
        <f t="shared" si="17"/>
        <v>1561.6</v>
      </c>
      <c r="Y212" s="234">
        <f t="shared" si="16"/>
        <v>24438.400000000001</v>
      </c>
      <c r="Z212" s="296" t="s">
        <v>213</v>
      </c>
      <c r="AA212" s="298">
        <v>44197</v>
      </c>
      <c r="AB212" s="235"/>
      <c r="AC212" s="264"/>
    </row>
    <row r="213" spans="1:29" s="236" customFormat="1" x14ac:dyDescent="0.25">
      <c r="A213" s="232"/>
      <c r="B213" s="302">
        <v>207</v>
      </c>
      <c r="C213" s="295" t="s">
        <v>1133</v>
      </c>
      <c r="D213" s="232" t="s">
        <v>1134</v>
      </c>
      <c r="E213" s="232" t="s">
        <v>85</v>
      </c>
      <c r="F213" s="232" t="s">
        <v>87</v>
      </c>
      <c r="G213" s="295">
        <v>1</v>
      </c>
      <c r="H213" s="296" t="s">
        <v>1548</v>
      </c>
      <c r="I213" s="297" t="s">
        <v>1067</v>
      </c>
      <c r="J213" s="232" t="s">
        <v>1023</v>
      </c>
      <c r="K213" s="233">
        <v>20000</v>
      </c>
      <c r="L213" s="284">
        <f>IF(K213&gt;=Datos!$D$14,(Datos!$D$14*Datos!$C$14),IF(K213&lt;=Datos!$D$14,(K213*Datos!$C$14)))</f>
        <v>574</v>
      </c>
      <c r="M213" s="284">
        <f>IF(K213&gt;=Datos!$D$15,(Datos!$D$15*Datos!$C$15),IF(K213&lt;=Datos!$D$15,(K213*Datos!$C$15)))</f>
        <v>608</v>
      </c>
      <c r="N213" s="231"/>
      <c r="O213" s="231">
        <f t="shared" si="21"/>
        <v>18818</v>
      </c>
      <c r="P213" s="223">
        <f>IF(O213&lt;=Datos!$G$7,"0",IF(O213&lt;=Datos!$G$8,(O213-Datos!$F$8)*Datos!$I$6,IF(O213&lt;=Datos!$G$9,Datos!$I$8+(O213-Datos!$F$9)*Datos!$J$6,IF(O213&gt;=Datos!$F$10,(Datos!$I$8+Datos!$J$8)+(O213-Datos!$F$10)*Datos!$K$6))))-W213</f>
        <v>0</v>
      </c>
      <c r="Q213" s="231">
        <v>2000</v>
      </c>
      <c r="R213" s="234"/>
      <c r="S213" s="234"/>
      <c r="T213" s="234"/>
      <c r="U213" s="234"/>
      <c r="V213" s="234">
        <v>25</v>
      </c>
      <c r="W213" s="231"/>
      <c r="X213" s="234">
        <f t="shared" si="17"/>
        <v>3207</v>
      </c>
      <c r="Y213" s="234">
        <f t="shared" si="16"/>
        <v>16793</v>
      </c>
      <c r="Z213" s="296"/>
      <c r="AA213" s="298">
        <v>44866</v>
      </c>
      <c r="AB213" s="235"/>
      <c r="AC213" s="264"/>
    </row>
    <row r="214" spans="1:29" s="236" customFormat="1" x14ac:dyDescent="0.25">
      <c r="A214" s="232"/>
      <c r="B214" s="302">
        <v>208</v>
      </c>
      <c r="C214" s="295" t="s">
        <v>453</v>
      </c>
      <c r="D214" s="232" t="s">
        <v>694</v>
      </c>
      <c r="E214" s="232" t="s">
        <v>85</v>
      </c>
      <c r="F214" s="232" t="s">
        <v>87</v>
      </c>
      <c r="G214" s="295">
        <v>4</v>
      </c>
      <c r="H214" s="296" t="s">
        <v>1211</v>
      </c>
      <c r="I214" s="297" t="s">
        <v>1062</v>
      </c>
      <c r="J214" s="232" t="s">
        <v>848</v>
      </c>
      <c r="K214" s="233">
        <v>71662.5</v>
      </c>
      <c r="L214" s="284">
        <f>IF(K214&gt;=Datos!$D$14,(Datos!$D$14*Datos!$C$14),IF(K214&lt;=Datos!$D$14,(K214*Datos!$C$14)))</f>
        <v>2056.7137499999999</v>
      </c>
      <c r="M214" s="284">
        <f>IF(K214&gt;=Datos!$D$15,(Datos!$D$15*Datos!$C$15),IF(K214&lt;=Datos!$D$15,(K214*Datos!$C$15)))</f>
        <v>2178.54</v>
      </c>
      <c r="N214" s="231"/>
      <c r="O214" s="231">
        <f t="shared" si="21"/>
        <v>67427.246249999997</v>
      </c>
      <c r="P214" s="223">
        <f>IF(O214&lt;=Datos!$G$7,"0",IF(O214&lt;=Datos!$G$8,(O214-Datos!$F$8)*Datos!$I$6,IF(O214&lt;=Datos!$G$9,Datos!$I$8+(O214-Datos!$F$9)*Datos!$J$6,IF(O214&gt;=Datos!$F$10,(Datos!$I$8+Datos!$J$8)+(O214-Datos!$F$10)*Datos!$K$6))))-W214</f>
        <v>5681.3249166666656</v>
      </c>
      <c r="Q214" s="231">
        <f>IFERROR(VLOOKUP(C214,[1]Hoja1!$D$5:$E$58,2,FALSE),0)</f>
        <v>0</v>
      </c>
      <c r="R214" s="234"/>
      <c r="S214" s="234"/>
      <c r="T214" s="234"/>
      <c r="U214" s="234"/>
      <c r="V214" s="234">
        <v>25</v>
      </c>
      <c r="W214" s="231"/>
      <c r="X214" s="234">
        <f t="shared" si="17"/>
        <v>9941.5786666666645</v>
      </c>
      <c r="Y214" s="234">
        <f t="shared" si="16"/>
        <v>61720.921333333332</v>
      </c>
      <c r="Z214" s="296" t="s">
        <v>214</v>
      </c>
      <c r="AA214" s="298">
        <v>39783</v>
      </c>
      <c r="AB214" s="235"/>
      <c r="AC214" s="264"/>
    </row>
    <row r="215" spans="1:29" s="236" customFormat="1" x14ac:dyDescent="0.25">
      <c r="A215" s="232"/>
      <c r="B215" s="302">
        <v>209</v>
      </c>
      <c r="C215" s="295" t="s">
        <v>454</v>
      </c>
      <c r="D215" s="232" t="s">
        <v>695</v>
      </c>
      <c r="E215" s="232" t="s">
        <v>85</v>
      </c>
      <c r="F215" s="232" t="s">
        <v>87</v>
      </c>
      <c r="G215" s="295">
        <v>5</v>
      </c>
      <c r="H215" s="296" t="s">
        <v>1210</v>
      </c>
      <c r="I215" s="297" t="s">
        <v>1062</v>
      </c>
      <c r="J215" s="232" t="s">
        <v>837</v>
      </c>
      <c r="K215" s="233">
        <v>67567.5</v>
      </c>
      <c r="L215" s="284">
        <f>IF(K215&gt;=Datos!$D$14,(Datos!$D$14*Datos!$C$14),IF(K215&lt;=Datos!$D$14,(K215*Datos!$C$14)))</f>
        <v>1939.1872499999999</v>
      </c>
      <c r="M215" s="284">
        <f>IF(K215&gt;=Datos!$D$15,(Datos!$D$15*Datos!$C$15),IF(K215&lt;=Datos!$D$15,(K215*Datos!$C$15)))</f>
        <v>2054.0520000000001</v>
      </c>
      <c r="N215" s="231"/>
      <c r="O215" s="231">
        <f t="shared" si="21"/>
        <v>63574.260750000001</v>
      </c>
      <c r="P215" s="223">
        <f>IF(O215&lt;=Datos!$G$7,"0",IF(O215&lt;=Datos!$G$8,(O215-Datos!$F$8)*Datos!$I$6,IF(O215&lt;=Datos!$G$9,Datos!$I$8+(O215-Datos!$F$9)*Datos!$J$6,IF(O215&gt;=Datos!$F$10,(Datos!$I$8+Datos!$J$8)+(O215-Datos!$F$10)*Datos!$K$6))))-W215</f>
        <v>4910.7278166666665</v>
      </c>
      <c r="Q215" s="231">
        <f>IFERROR(VLOOKUP(C215,[1]Hoja1!$D$5:$E$58,2,FALSE),0)</f>
        <v>0</v>
      </c>
      <c r="R215" s="234"/>
      <c r="S215" s="234"/>
      <c r="T215" s="234"/>
      <c r="U215" s="234"/>
      <c r="V215" s="234">
        <v>25</v>
      </c>
      <c r="W215" s="231"/>
      <c r="X215" s="234">
        <f t="shared" si="17"/>
        <v>8928.9670666666661</v>
      </c>
      <c r="Y215" s="234">
        <f t="shared" ref="Y215:Y289" si="25">+K215-X215</f>
        <v>58638.532933333336</v>
      </c>
      <c r="Z215" s="296" t="s">
        <v>215</v>
      </c>
      <c r="AA215" s="298">
        <v>44228</v>
      </c>
      <c r="AB215" s="235"/>
      <c r="AC215" s="264"/>
    </row>
    <row r="216" spans="1:29" s="236" customFormat="1" x14ac:dyDescent="0.25">
      <c r="A216" s="232"/>
      <c r="B216" s="302">
        <v>210</v>
      </c>
      <c r="C216" s="295" t="s">
        <v>1708</v>
      </c>
      <c r="D216" s="232" t="s">
        <v>1709</v>
      </c>
      <c r="E216" s="232" t="s">
        <v>85</v>
      </c>
      <c r="F216" s="232" t="s">
        <v>87</v>
      </c>
      <c r="G216" s="295">
        <v>5</v>
      </c>
      <c r="H216" s="296" t="s">
        <v>1210</v>
      </c>
      <c r="I216" s="297" t="s">
        <v>1710</v>
      </c>
      <c r="J216" s="232" t="s">
        <v>1520</v>
      </c>
      <c r="K216" s="233">
        <v>35000</v>
      </c>
      <c r="L216" s="284">
        <f>IF(K216&gt;=Datos!$D$14,(Datos!$D$14*Datos!$C$14),IF(K216&lt;=Datos!$D$14,(K216*Datos!$C$14)))</f>
        <v>1004.5</v>
      </c>
      <c r="M216" s="284">
        <f>IF(K216&gt;=Datos!$D$15,(Datos!$D$15*Datos!$C$15),IF(K216&lt;=Datos!$D$15,(K216*Datos!$C$15)))</f>
        <v>1064</v>
      </c>
      <c r="N216" s="231"/>
      <c r="O216" s="231">
        <f t="shared" ref="O216" si="26">K216-(L216+M216+N216)</f>
        <v>32931.5</v>
      </c>
      <c r="P216" s="223">
        <f>IF(O216&lt;=Datos!$G$7,"0",IF(O216&lt;=Datos!$G$8,(O216-Datos!$F$8)*Datos!$I$6,IF(O216&lt;=Datos!$G$9,Datos!$I$8+(O216-Datos!$F$9)*Datos!$J$6,IF(O216&gt;=Datos!$F$10,(Datos!$I$8+Datos!$J$8)+(O216-Datos!$F$10)*Datos!$K$6))))-W216</f>
        <v>0</v>
      </c>
      <c r="Q216" s="231"/>
      <c r="R216" s="234"/>
      <c r="S216" s="234"/>
      <c r="T216" s="234"/>
      <c r="U216" s="234"/>
      <c r="V216" s="234">
        <v>25</v>
      </c>
      <c r="W216" s="231"/>
      <c r="X216" s="234">
        <f t="shared" ref="X216" si="27">SUM(P216:V216)+(L216+M216+N216)-W216</f>
        <v>2093.5</v>
      </c>
      <c r="Y216" s="234">
        <f t="shared" ref="Y216" si="28">+K216-X216</f>
        <v>32906.5</v>
      </c>
      <c r="Z216" s="296">
        <v>9607479172</v>
      </c>
      <c r="AA216" s="298">
        <v>45627</v>
      </c>
      <c r="AB216" s="235"/>
      <c r="AC216" s="264"/>
    </row>
    <row r="217" spans="1:29" s="236" customFormat="1" x14ac:dyDescent="0.25">
      <c r="A217" s="232"/>
      <c r="B217" s="302">
        <v>211</v>
      </c>
      <c r="C217" s="295" t="s">
        <v>455</v>
      </c>
      <c r="D217" s="232" t="s">
        <v>696</v>
      </c>
      <c r="E217" s="232" t="s">
        <v>86</v>
      </c>
      <c r="F217" s="232" t="s">
        <v>87</v>
      </c>
      <c r="G217" s="295">
        <v>1</v>
      </c>
      <c r="H217" s="296" t="s">
        <v>1636</v>
      </c>
      <c r="I217" s="297" t="s">
        <v>1060</v>
      </c>
      <c r="J217" s="232" t="s">
        <v>862</v>
      </c>
      <c r="K217" s="233">
        <v>26000</v>
      </c>
      <c r="L217" s="284">
        <f>IF(K217&gt;=Datos!$D$14,(Datos!$D$14*Datos!$C$14),IF(K217&lt;=Datos!$D$14,(K217*Datos!$C$14)))</f>
        <v>746.2</v>
      </c>
      <c r="M217" s="284">
        <f>IF(K217&gt;=Datos!$D$15,(Datos!$D$15*Datos!$C$15),IF(K217&lt;=Datos!$D$15,(K217*Datos!$C$15)))</f>
        <v>790.4</v>
      </c>
      <c r="N217" s="231"/>
      <c r="O217" s="231">
        <f t="shared" si="21"/>
        <v>24463.4</v>
      </c>
      <c r="P217" s="223">
        <f>IF(O217&lt;=Datos!$G$7,"0",IF(O217&lt;=Datos!$G$8,(O217-Datos!$F$8)*Datos!$I$6,IF(O217&lt;=Datos!$G$9,Datos!$I$8+(O217-Datos!$F$9)*Datos!$J$6,IF(O217&gt;=Datos!$F$10,(Datos!$I$8+Datos!$J$8)+(O217-Datos!$F$10)*Datos!$K$6))))-W217</f>
        <v>0</v>
      </c>
      <c r="Q217" s="231">
        <f>IFERROR(VLOOKUP(C217,[1]Hoja1!$D$5:$E$58,2,FALSE),0)</f>
        <v>0</v>
      </c>
      <c r="R217" s="234"/>
      <c r="S217" s="234"/>
      <c r="T217" s="234"/>
      <c r="U217" s="234"/>
      <c r="V217" s="234">
        <v>25</v>
      </c>
      <c r="W217" s="231"/>
      <c r="X217" s="234">
        <f t="shared" ref="X217:X290" si="29">SUM(P217:V217)+(L217+M217+N217)-W217</f>
        <v>1561.6</v>
      </c>
      <c r="Y217" s="234">
        <f t="shared" si="25"/>
        <v>24438.400000000001</v>
      </c>
      <c r="Z217" s="296" t="s">
        <v>216</v>
      </c>
      <c r="AA217" s="298">
        <v>44197</v>
      </c>
      <c r="AB217" s="235"/>
      <c r="AC217" s="264"/>
    </row>
    <row r="218" spans="1:29" s="236" customFormat="1" x14ac:dyDescent="0.25">
      <c r="A218" s="232"/>
      <c r="B218" s="302">
        <v>212</v>
      </c>
      <c r="C218" s="295" t="s">
        <v>1121</v>
      </c>
      <c r="D218" s="232" t="s">
        <v>1122</v>
      </c>
      <c r="E218" s="232" t="s">
        <v>86</v>
      </c>
      <c r="F218" s="232" t="s">
        <v>87</v>
      </c>
      <c r="G218" s="295">
        <v>5</v>
      </c>
      <c r="H218" s="296" t="s">
        <v>1662</v>
      </c>
      <c r="I218" s="297" t="s">
        <v>1067</v>
      </c>
      <c r="J218" s="232" t="s">
        <v>1658</v>
      </c>
      <c r="K218" s="233">
        <v>90000</v>
      </c>
      <c r="L218" s="284">
        <f>IF(K218&gt;=Datos!$D$14,(Datos!$D$14*Datos!$C$14),IF(K218&lt;=Datos!$D$14,(K218*Datos!$C$14)))</f>
        <v>2583</v>
      </c>
      <c r="M218" s="284">
        <f>IF(K218&gt;=Datos!$D$15,(Datos!$D$15*Datos!$C$15),IF(K218&lt;=Datos!$D$15,(K218*Datos!$C$15)))</f>
        <v>2736</v>
      </c>
      <c r="N218" s="231"/>
      <c r="O218" s="231">
        <f t="shared" si="21"/>
        <v>84681</v>
      </c>
      <c r="P218" s="223">
        <f>IF(O218&lt;=Datos!$G$7,"0",IF(O218&lt;=Datos!$G$8,(O218-Datos!$F$8)*Datos!$I$6,IF(O218&lt;=Datos!$G$9,Datos!$I$8+(O218-Datos!$F$9)*Datos!$J$6,IF(O218&gt;=Datos!$F$10,(Datos!$I$8+Datos!$J$8)+(O218-Datos!$F$10)*Datos!$K$6))))-W218</f>
        <v>9753.1106666666674</v>
      </c>
      <c r="Q218" s="231">
        <f>IFERROR(VLOOKUP(C218,[1]Hoja1!$D$5:$E$58,2,FALSE),0)</f>
        <v>0</v>
      </c>
      <c r="R218" s="234"/>
      <c r="S218" s="234"/>
      <c r="T218" s="234"/>
      <c r="U218" s="234"/>
      <c r="V218" s="234">
        <v>25</v>
      </c>
      <c r="W218" s="231"/>
      <c r="X218" s="234">
        <f t="shared" si="29"/>
        <v>15097.110666666667</v>
      </c>
      <c r="Y218" s="234">
        <f t="shared" si="25"/>
        <v>74902.889333333325</v>
      </c>
      <c r="Z218" s="296"/>
      <c r="AA218" s="298">
        <v>44866</v>
      </c>
      <c r="AB218" s="235"/>
      <c r="AC218" s="264"/>
    </row>
    <row r="219" spans="1:29" s="236" customFormat="1" x14ac:dyDescent="0.25">
      <c r="A219" s="232"/>
      <c r="B219" s="302">
        <v>213</v>
      </c>
      <c r="C219" s="295" t="s">
        <v>456</v>
      </c>
      <c r="D219" s="232" t="s">
        <v>697</v>
      </c>
      <c r="E219" s="232" t="s">
        <v>86</v>
      </c>
      <c r="F219" s="232" t="s">
        <v>87</v>
      </c>
      <c r="G219" s="295">
        <v>1</v>
      </c>
      <c r="H219" s="296" t="s">
        <v>1548</v>
      </c>
      <c r="I219" s="297" t="s">
        <v>1061</v>
      </c>
      <c r="J219" s="232" t="s">
        <v>833</v>
      </c>
      <c r="K219" s="233">
        <f>13860+4140</f>
        <v>18000</v>
      </c>
      <c r="L219" s="284">
        <f>IF(K219&gt;=Datos!$D$14,(Datos!$D$14*Datos!$C$14),IF(K219&lt;=Datos!$D$14,(K219*Datos!$C$14)))</f>
        <v>516.6</v>
      </c>
      <c r="M219" s="284">
        <f>IF(K219&gt;=Datos!$D$15,(Datos!$D$15*Datos!$C$15),IF(K219&lt;=Datos!$D$15,(K219*Datos!$C$15)))</f>
        <v>547.20000000000005</v>
      </c>
      <c r="N219" s="231"/>
      <c r="O219" s="231">
        <f t="shared" si="21"/>
        <v>16936.2</v>
      </c>
      <c r="P219" s="223">
        <f>IF(O219&lt;=Datos!$G$7,"0",IF(O219&lt;=Datos!$G$8,(O219-Datos!$F$8)*Datos!$I$6,IF(O219&lt;=Datos!$G$9,Datos!$I$8+(O219-Datos!$F$9)*Datos!$J$6,IF(O219&gt;=Datos!$F$10,(Datos!$I$8+Datos!$J$8)+(O219-Datos!$F$10)*Datos!$K$6))))-W219</f>
        <v>0</v>
      </c>
      <c r="Q219" s="231">
        <v>3444.13</v>
      </c>
      <c r="R219" s="234"/>
      <c r="S219" s="234"/>
      <c r="T219" s="234"/>
      <c r="U219" s="234"/>
      <c r="V219" s="234">
        <v>25</v>
      </c>
      <c r="W219" s="231"/>
      <c r="X219" s="234">
        <f t="shared" si="29"/>
        <v>4532.93</v>
      </c>
      <c r="Y219" s="234">
        <f t="shared" si="25"/>
        <v>13467.07</v>
      </c>
      <c r="Z219" s="296" t="s">
        <v>217</v>
      </c>
      <c r="AA219" s="298">
        <v>44197</v>
      </c>
      <c r="AB219" s="235"/>
      <c r="AC219" s="264"/>
    </row>
    <row r="220" spans="1:29" s="236" customFormat="1" x14ac:dyDescent="0.25">
      <c r="A220" s="232"/>
      <c r="B220" s="302">
        <v>214</v>
      </c>
      <c r="C220" s="295" t="s">
        <v>457</v>
      </c>
      <c r="D220" s="232" t="s">
        <v>698</v>
      </c>
      <c r="E220" s="232" t="s">
        <v>85</v>
      </c>
      <c r="F220" s="232" t="s">
        <v>87</v>
      </c>
      <c r="G220" s="295">
        <v>5</v>
      </c>
      <c r="H220" s="296" t="s">
        <v>1210</v>
      </c>
      <c r="I220" s="297" t="s">
        <v>1067</v>
      </c>
      <c r="J220" s="232" t="s">
        <v>837</v>
      </c>
      <c r="K220" s="233">
        <v>75245.3</v>
      </c>
      <c r="L220" s="284">
        <f>IF(K220&gt;=Datos!$D$14,(Datos!$D$14*Datos!$C$14),IF(K220&lt;=Datos!$D$14,(K220*Datos!$C$14)))</f>
        <v>2159.5401099999999</v>
      </c>
      <c r="M220" s="284">
        <f>IF(K220&gt;=Datos!$D$15,(Datos!$D$15*Datos!$C$15),IF(K220&lt;=Datos!$D$15,(K220*Datos!$C$15)))</f>
        <v>2287.45712</v>
      </c>
      <c r="N220" s="231">
        <v>1715.46</v>
      </c>
      <c r="O220" s="231">
        <f t="shared" si="21"/>
        <v>69082.842770000003</v>
      </c>
      <c r="P220" s="223">
        <f>IF(O220&lt;=Datos!$G$7,"0",IF(O220&lt;=Datos!$G$8,(O220-Datos!$F$8)*Datos!$I$6,IF(O220&lt;=Datos!$G$9,Datos!$I$8+(O220-Datos!$F$9)*Datos!$J$6,IF(O220&gt;=Datos!$F$10,(Datos!$I$8+Datos!$J$8)+(O220-Datos!$F$10)*Datos!$K$6))))-W220</f>
        <v>6012.4442206666663</v>
      </c>
      <c r="Q220" s="231">
        <f>IFERROR(VLOOKUP(C220,[1]Hoja1!$D$5:$E$58,2,FALSE),0)</f>
        <v>0</v>
      </c>
      <c r="R220" s="234"/>
      <c r="S220" s="234"/>
      <c r="T220" s="234"/>
      <c r="U220" s="234"/>
      <c r="V220" s="234">
        <v>25</v>
      </c>
      <c r="W220" s="231"/>
      <c r="X220" s="234">
        <f t="shared" si="29"/>
        <v>12199.901450666666</v>
      </c>
      <c r="Y220" s="234">
        <f t="shared" si="25"/>
        <v>63045.398549333338</v>
      </c>
      <c r="Z220" s="296" t="s">
        <v>218</v>
      </c>
      <c r="AA220" s="298">
        <v>44197</v>
      </c>
      <c r="AB220" s="235"/>
      <c r="AC220" s="264"/>
    </row>
    <row r="221" spans="1:29" s="236" customFormat="1" x14ac:dyDescent="0.25">
      <c r="A221" s="232"/>
      <c r="B221" s="302">
        <v>215</v>
      </c>
      <c r="C221" s="295" t="s">
        <v>1013</v>
      </c>
      <c r="D221" s="232" t="s">
        <v>1006</v>
      </c>
      <c r="E221" s="232" t="s">
        <v>85</v>
      </c>
      <c r="F221" s="232" t="s">
        <v>87</v>
      </c>
      <c r="G221" s="295">
        <v>5</v>
      </c>
      <c r="H221" s="296" t="s">
        <v>1210</v>
      </c>
      <c r="I221" s="297" t="s">
        <v>1060</v>
      </c>
      <c r="J221" s="232" t="s">
        <v>1018</v>
      </c>
      <c r="K221" s="233">
        <f>50000+10000</f>
        <v>60000</v>
      </c>
      <c r="L221" s="284">
        <f>IF(K221&gt;=Datos!$D$14,(Datos!$D$14*Datos!$C$14),IF(K221&lt;=Datos!$D$14,(K221*Datos!$C$14)))</f>
        <v>1722</v>
      </c>
      <c r="M221" s="284">
        <f>IF(K221&gt;=Datos!$D$15,(Datos!$D$15*Datos!$C$15),IF(K221&lt;=Datos!$D$15,(K221*Datos!$C$15)))</f>
        <v>1824</v>
      </c>
      <c r="N221" s="231"/>
      <c r="O221" s="231">
        <f t="shared" si="21"/>
        <v>56454</v>
      </c>
      <c r="P221" s="223">
        <f>IF(O221&lt;=Datos!$G$7,"0",IF(O221&lt;=Datos!$G$8,(O221-Datos!$F$8)*Datos!$I$6,IF(O221&lt;=Datos!$G$9,Datos!$I$8+(O221-Datos!$F$9)*Datos!$J$6,IF(O221&gt;=Datos!$F$10,(Datos!$I$8+Datos!$J$8)+(O221-Datos!$F$10)*Datos!$K$6))))-W221</f>
        <v>3486.6756666666661</v>
      </c>
      <c r="Q221" s="231">
        <f>IFERROR(VLOOKUP(C221,[1]Hoja1!$D$5:$E$58,2,FALSE),0)</f>
        <v>0</v>
      </c>
      <c r="R221" s="234"/>
      <c r="S221" s="234"/>
      <c r="T221" s="234"/>
      <c r="U221" s="234"/>
      <c r="V221" s="234">
        <v>25</v>
      </c>
      <c r="W221" s="231"/>
      <c r="X221" s="234">
        <f t="shared" si="29"/>
        <v>7057.6756666666661</v>
      </c>
      <c r="Y221" s="234">
        <f t="shared" si="25"/>
        <v>52942.324333333338</v>
      </c>
      <c r="Z221" s="296"/>
      <c r="AA221" s="298">
        <v>44743</v>
      </c>
      <c r="AB221" s="235"/>
      <c r="AC221" s="264"/>
    </row>
    <row r="222" spans="1:29" s="236" customFormat="1" x14ac:dyDescent="0.25">
      <c r="A222" s="232"/>
      <c r="B222" s="302">
        <v>216</v>
      </c>
      <c r="C222" s="295" t="s">
        <v>458</v>
      </c>
      <c r="D222" s="232" t="s">
        <v>699</v>
      </c>
      <c r="E222" s="232" t="s">
        <v>85</v>
      </c>
      <c r="F222" s="232" t="s">
        <v>87</v>
      </c>
      <c r="G222" s="295">
        <v>1</v>
      </c>
      <c r="H222" s="296" t="s">
        <v>1379</v>
      </c>
      <c r="I222" s="297" t="s">
        <v>1061</v>
      </c>
      <c r="J222" s="232" t="s">
        <v>922</v>
      </c>
      <c r="K222" s="233">
        <v>26000</v>
      </c>
      <c r="L222" s="284">
        <f>IF(K222&gt;=Datos!$D$14,(Datos!$D$14*Datos!$C$14),IF(K222&lt;=Datos!$D$14,(K222*Datos!$C$14)))</f>
        <v>746.2</v>
      </c>
      <c r="M222" s="284">
        <f>IF(K222&gt;=Datos!$D$15,(Datos!$D$15*Datos!$C$15),IF(K222&lt;=Datos!$D$15,(K222*Datos!$C$15)))</f>
        <v>790.4</v>
      </c>
      <c r="N222" s="231"/>
      <c r="O222" s="231">
        <f t="shared" si="21"/>
        <v>24463.4</v>
      </c>
      <c r="P222" s="223">
        <f>IF(O222&lt;=Datos!$G$7,"0",IF(O222&lt;=Datos!$G$8,(O222-Datos!$F$8)*Datos!$I$6,IF(O222&lt;=Datos!$G$9,Datos!$I$8+(O222-Datos!$F$9)*Datos!$J$6,IF(O222&gt;=Datos!$F$10,(Datos!$I$8+Datos!$J$8)+(O222-Datos!$F$10)*Datos!$K$6))))-W222</f>
        <v>0</v>
      </c>
      <c r="Q222" s="231">
        <f>IFERROR(VLOOKUP(C222,[1]Hoja1!$D$5:$E$58,2,FALSE),0)</f>
        <v>3000</v>
      </c>
      <c r="R222" s="234"/>
      <c r="S222" s="234"/>
      <c r="T222" s="234"/>
      <c r="U222" s="234"/>
      <c r="V222" s="234">
        <v>25</v>
      </c>
      <c r="W222" s="231"/>
      <c r="X222" s="234">
        <f t="shared" si="29"/>
        <v>4561.6000000000004</v>
      </c>
      <c r="Y222" s="234">
        <f t="shared" si="25"/>
        <v>21438.400000000001</v>
      </c>
      <c r="Z222" s="296" t="s">
        <v>219</v>
      </c>
      <c r="AA222" s="298">
        <v>44197</v>
      </c>
      <c r="AB222" s="235"/>
      <c r="AC222" s="264"/>
    </row>
    <row r="223" spans="1:29" s="236" customFormat="1" x14ac:dyDescent="0.25">
      <c r="A223" s="232"/>
      <c r="B223" s="302">
        <v>217</v>
      </c>
      <c r="C223" s="295" t="s">
        <v>898</v>
      </c>
      <c r="D223" s="232" t="s">
        <v>899</v>
      </c>
      <c r="E223" s="232" t="s">
        <v>85</v>
      </c>
      <c r="F223" s="232" t="s">
        <v>87</v>
      </c>
      <c r="G223" s="295">
        <v>1</v>
      </c>
      <c r="H223" s="296" t="s">
        <v>1721</v>
      </c>
      <c r="I223" s="297" t="s">
        <v>1187</v>
      </c>
      <c r="J223" s="232" t="s">
        <v>1726</v>
      </c>
      <c r="K223" s="233">
        <v>75000</v>
      </c>
      <c r="L223" s="284">
        <f>IF(K223&gt;=Datos!$D$14,(Datos!$D$14*Datos!$C$14),IF(K223&lt;=Datos!$D$14,(K223*Datos!$C$14)))</f>
        <v>2152.5</v>
      </c>
      <c r="M223" s="284">
        <f>IF(K223&gt;=Datos!$D$15,(Datos!$D$15*Datos!$C$15),IF(K223&lt;=Datos!$D$15,(K223*Datos!$C$15)))</f>
        <v>2280</v>
      </c>
      <c r="N223" s="231"/>
      <c r="O223" s="231">
        <f t="shared" si="21"/>
        <v>70567.5</v>
      </c>
      <c r="P223" s="223">
        <f>IF(O223&lt;=Datos!$G$7,"0",IF(O223&lt;=Datos!$G$8,(O223-Datos!$F$8)*Datos!$I$6,IF(O223&lt;=Datos!$G$9,Datos!$I$8+(O223-Datos!$F$9)*Datos!$J$6,IF(O223&gt;=Datos!$F$10,(Datos!$I$8+Datos!$J$8)+(O223-Datos!$F$10)*Datos!$K$6))))-W223</f>
        <v>6309.3756666666668</v>
      </c>
      <c r="Q223" s="231">
        <v>25013.05</v>
      </c>
      <c r="R223" s="234"/>
      <c r="S223" s="234"/>
      <c r="T223" s="234"/>
      <c r="U223" s="234"/>
      <c r="V223" s="234">
        <v>25</v>
      </c>
      <c r="W223" s="231"/>
      <c r="X223" s="234">
        <f t="shared" si="29"/>
        <v>35779.925666666662</v>
      </c>
      <c r="Y223" s="234">
        <f t="shared" si="25"/>
        <v>39220.074333333338</v>
      </c>
      <c r="Z223" s="296"/>
      <c r="AA223" s="298">
        <v>44621</v>
      </c>
      <c r="AB223" s="235"/>
      <c r="AC223" s="264"/>
    </row>
    <row r="224" spans="1:29" s="236" customFormat="1" x14ac:dyDescent="0.25">
      <c r="A224" s="232"/>
      <c r="B224" s="302">
        <v>218</v>
      </c>
      <c r="C224" s="295" t="s">
        <v>1649</v>
      </c>
      <c r="D224" s="232" t="s">
        <v>1650</v>
      </c>
      <c r="E224" s="232" t="s">
        <v>85</v>
      </c>
      <c r="F224" s="232" t="s">
        <v>87</v>
      </c>
      <c r="G224" s="295">
        <v>5</v>
      </c>
      <c r="H224" s="296" t="s">
        <v>1383</v>
      </c>
      <c r="I224" s="297" t="s">
        <v>1062</v>
      </c>
      <c r="J224" s="232" t="s">
        <v>1520</v>
      </c>
      <c r="K224" s="233">
        <v>35000</v>
      </c>
      <c r="L224" s="284">
        <f>IF(K224&gt;=Datos!$D$14,(Datos!$D$14*Datos!$C$14),IF(K224&lt;=Datos!$D$14,(K224*Datos!$C$14)))</f>
        <v>1004.5</v>
      </c>
      <c r="M224" s="284">
        <f>IF(K224&gt;=Datos!$D$15,(Datos!$D$15*Datos!$C$15),IF(K224&lt;=Datos!$D$15,(K224*Datos!$C$15)))</f>
        <v>1064</v>
      </c>
      <c r="N224" s="231"/>
      <c r="O224" s="231">
        <f t="shared" si="21"/>
        <v>32931.5</v>
      </c>
      <c r="P224" s="223">
        <f>IF(O224&lt;=Datos!$G$7,"0",IF(O224&lt;=Datos!$G$8,(O224-Datos!$F$8)*Datos!$I$6,IF(O224&lt;=Datos!$G$9,Datos!$I$8+(O224-Datos!$F$9)*Datos!$J$6,IF(O224&gt;=Datos!$F$10,(Datos!$I$8+Datos!$J$8)+(O224-Datos!$F$10)*Datos!$K$6))))-W224</f>
        <v>0</v>
      </c>
      <c r="Q224" s="231">
        <v>0</v>
      </c>
      <c r="R224" s="234"/>
      <c r="S224" s="234"/>
      <c r="T224" s="234"/>
      <c r="U224" s="234"/>
      <c r="V224" s="234">
        <v>25</v>
      </c>
      <c r="W224" s="231"/>
      <c r="X224" s="234">
        <f t="shared" si="29"/>
        <v>2093.5</v>
      </c>
      <c r="Y224" s="234">
        <f t="shared" si="25"/>
        <v>32906.5</v>
      </c>
      <c r="Z224" s="296">
        <v>9607405808</v>
      </c>
      <c r="AA224" s="298">
        <v>45536</v>
      </c>
      <c r="AB224" s="235"/>
      <c r="AC224" s="264"/>
    </row>
    <row r="225" spans="1:29" s="236" customFormat="1" x14ac:dyDescent="0.25">
      <c r="A225" s="232"/>
      <c r="B225" s="302">
        <v>219</v>
      </c>
      <c r="C225" s="295" t="s">
        <v>459</v>
      </c>
      <c r="D225" s="232" t="s">
        <v>700</v>
      </c>
      <c r="E225" s="232" t="s">
        <v>85</v>
      </c>
      <c r="F225" s="232" t="s">
        <v>87</v>
      </c>
      <c r="G225" s="295">
        <v>4</v>
      </c>
      <c r="H225" s="296" t="s">
        <v>1209</v>
      </c>
      <c r="I225" s="297" t="s">
        <v>1062</v>
      </c>
      <c r="J225" s="232" t="s">
        <v>1870</v>
      </c>
      <c r="K225" s="233">
        <f>25000+35000</f>
        <v>60000</v>
      </c>
      <c r="L225" s="284">
        <f>IF(K225&gt;=Datos!$D$14,(Datos!$D$14*Datos!$C$14),IF(K225&lt;=Datos!$D$14,(K225*Datos!$C$14)))</f>
        <v>1722</v>
      </c>
      <c r="M225" s="284">
        <f>IF(K225&gt;=Datos!$D$15,(Datos!$D$15*Datos!$C$15),IF(K225&lt;=Datos!$D$15,(K225*Datos!$C$15)))</f>
        <v>1824</v>
      </c>
      <c r="N225" s="231"/>
      <c r="O225" s="231">
        <f t="shared" si="21"/>
        <v>56454</v>
      </c>
      <c r="P225" s="223">
        <f>IF(O225&lt;=Datos!$G$7,"0",IF(O225&lt;=Datos!$G$8,(O225-Datos!$F$8)*Datos!$I$6,IF(O225&lt;=Datos!$G$9,Datos!$I$8+(O225-Datos!$F$9)*Datos!$J$6,IF(O225&gt;=Datos!$F$10,(Datos!$I$8+Datos!$J$8)+(O225-Datos!$F$10)*Datos!$K$6))))-W225</f>
        <v>3486.6756666666661</v>
      </c>
      <c r="Q225" s="231">
        <f>IFERROR(VLOOKUP(C225,[1]Hoja1!$D$5:$E$58,2,FALSE),0)</f>
        <v>0</v>
      </c>
      <c r="R225" s="234"/>
      <c r="S225" s="234"/>
      <c r="T225" s="234"/>
      <c r="U225" s="234"/>
      <c r="V225" s="234">
        <v>25</v>
      </c>
      <c r="W225" s="231"/>
      <c r="X225" s="234">
        <f t="shared" si="29"/>
        <v>7057.6756666666661</v>
      </c>
      <c r="Y225" s="234">
        <f t="shared" si="25"/>
        <v>52942.324333333338</v>
      </c>
      <c r="Z225" s="296" t="s">
        <v>220</v>
      </c>
      <c r="AA225" s="298">
        <v>44470</v>
      </c>
      <c r="AB225" s="235"/>
      <c r="AC225" s="264"/>
    </row>
    <row r="226" spans="1:29" s="236" customFormat="1" x14ac:dyDescent="0.25">
      <c r="A226" s="232"/>
      <c r="B226" s="302">
        <v>220</v>
      </c>
      <c r="C226" s="295" t="s">
        <v>460</v>
      </c>
      <c r="D226" s="232" t="s">
        <v>701</v>
      </c>
      <c r="E226" s="232" t="s">
        <v>85</v>
      </c>
      <c r="F226" s="232" t="s">
        <v>87</v>
      </c>
      <c r="G226" s="295">
        <v>4</v>
      </c>
      <c r="H226" s="296" t="s">
        <v>1209</v>
      </c>
      <c r="I226" s="297" t="s">
        <v>1060</v>
      </c>
      <c r="J226" s="232" t="s">
        <v>1116</v>
      </c>
      <c r="K226" s="233">
        <f>25000+5000+5000</f>
        <v>35000</v>
      </c>
      <c r="L226" s="284">
        <f>IF(K226&gt;=Datos!$D$14,(Datos!$D$14*Datos!$C$14),IF(K226&lt;=Datos!$D$14,(K226*Datos!$C$14)))</f>
        <v>1004.5</v>
      </c>
      <c r="M226" s="284">
        <f>IF(K226&gt;=Datos!$D$15,(Datos!$D$15*Datos!$C$15),IF(K226&lt;=Datos!$D$15,(K226*Datos!$C$15)))</f>
        <v>1064</v>
      </c>
      <c r="N226" s="231"/>
      <c r="O226" s="231">
        <f t="shared" si="21"/>
        <v>32931.5</v>
      </c>
      <c r="P226" s="223">
        <f>IF(O226&lt;=Datos!$G$7,"0",IF(O226&lt;=Datos!$G$8,(O226-Datos!$F$8)*Datos!$I$6,IF(O226&lt;=Datos!$G$9,Datos!$I$8+(O226-Datos!$F$9)*Datos!$J$6,IF(O226&gt;=Datos!$F$10,(Datos!$I$8+Datos!$J$8)+(O226-Datos!$F$10)*Datos!$K$6))))-W226</f>
        <v>0</v>
      </c>
      <c r="Q226" s="231">
        <v>2500</v>
      </c>
      <c r="R226" s="234"/>
      <c r="S226" s="234"/>
      <c r="T226" s="234"/>
      <c r="U226" s="234"/>
      <c r="V226" s="234">
        <v>25</v>
      </c>
      <c r="W226" s="231"/>
      <c r="X226" s="234">
        <f t="shared" si="29"/>
        <v>4593.5</v>
      </c>
      <c r="Y226" s="234">
        <f t="shared" si="25"/>
        <v>30406.5</v>
      </c>
      <c r="Z226" s="296" t="s">
        <v>221</v>
      </c>
      <c r="AA226" s="298">
        <v>44197</v>
      </c>
      <c r="AB226" s="235"/>
      <c r="AC226" s="264"/>
    </row>
    <row r="227" spans="1:29" s="236" customFormat="1" x14ac:dyDescent="0.25">
      <c r="A227" s="232"/>
      <c r="B227" s="302">
        <v>221</v>
      </c>
      <c r="C227" s="295" t="s">
        <v>1713</v>
      </c>
      <c r="D227" s="232" t="s">
        <v>1714</v>
      </c>
      <c r="E227" s="232" t="s">
        <v>85</v>
      </c>
      <c r="F227" s="232" t="s">
        <v>87</v>
      </c>
      <c r="G227" s="295">
        <v>5</v>
      </c>
      <c r="H227" s="296" t="s">
        <v>1383</v>
      </c>
      <c r="I227" s="297" t="s">
        <v>1710</v>
      </c>
      <c r="J227" s="232" t="s">
        <v>1520</v>
      </c>
      <c r="K227" s="233">
        <v>55000</v>
      </c>
      <c r="L227" s="284">
        <f>IF(K227&gt;=Datos!$D$14,(Datos!$D$14*Datos!$C$14),IF(K227&lt;=Datos!$D$14,(K227*Datos!$C$14)))</f>
        <v>1578.5</v>
      </c>
      <c r="M227" s="284">
        <f>IF(K227&gt;=Datos!$D$15,(Datos!$D$15*Datos!$C$15),IF(K227&lt;=Datos!$D$15,(K227*Datos!$C$15)))</f>
        <v>1672</v>
      </c>
      <c r="N227" s="231"/>
      <c r="O227" s="231">
        <f t="shared" ref="O227" si="30">K227-(L227+M227+N227)</f>
        <v>51749.5</v>
      </c>
      <c r="P227" s="223">
        <f>IF(O227&lt;=Datos!$G$7,"0",IF(O227&lt;=Datos!$G$8,(O227-Datos!$F$8)*Datos!$I$6,IF(O227&lt;=Datos!$G$9,Datos!$I$8+(O227-Datos!$F$9)*Datos!$J$6,IF(O227&gt;=Datos!$F$10,(Datos!$I$8+Datos!$J$8)+(O227-Datos!$F$10)*Datos!$K$6))))-W227</f>
        <v>2559.6734999999994</v>
      </c>
      <c r="Q227" s="231"/>
      <c r="R227" s="234"/>
      <c r="S227" s="234"/>
      <c r="T227" s="234"/>
      <c r="U227" s="234"/>
      <c r="V227" s="234">
        <v>25</v>
      </c>
      <c r="W227" s="231"/>
      <c r="X227" s="234">
        <f t="shared" ref="X227" si="31">SUM(P227:V227)+(L227+M227+N227)-W227</f>
        <v>5835.173499999999</v>
      </c>
      <c r="Y227" s="234">
        <f t="shared" ref="Y227" si="32">+K227-X227</f>
        <v>49164.826500000003</v>
      </c>
      <c r="Z227" s="296">
        <v>9607479176</v>
      </c>
      <c r="AA227" s="298">
        <v>45627</v>
      </c>
      <c r="AB227" s="235"/>
      <c r="AC227" s="264"/>
    </row>
    <row r="228" spans="1:29" s="236" customFormat="1" x14ac:dyDescent="0.25">
      <c r="A228" s="232"/>
      <c r="B228" s="302">
        <v>222</v>
      </c>
      <c r="C228" s="295" t="s">
        <v>1627</v>
      </c>
      <c r="D228" s="232" t="s">
        <v>1628</v>
      </c>
      <c r="E228" s="232" t="s">
        <v>85</v>
      </c>
      <c r="F228" s="232" t="s">
        <v>87</v>
      </c>
      <c r="G228" s="295">
        <v>5</v>
      </c>
      <c r="H228" s="296" t="s">
        <v>1383</v>
      </c>
      <c r="I228" s="297" t="s">
        <v>1060</v>
      </c>
      <c r="J228" s="232" t="s">
        <v>1304</v>
      </c>
      <c r="K228" s="233">
        <v>60000</v>
      </c>
      <c r="L228" s="284">
        <f>IF(K228&gt;=Datos!$D$14,(Datos!$D$14*Datos!$C$14),IF(K228&lt;=Datos!$D$14,(K228*Datos!$C$14)))</f>
        <v>1722</v>
      </c>
      <c r="M228" s="284">
        <f>IF(K228&gt;=Datos!$D$15,(Datos!$D$15*Datos!$C$15),IF(K228&lt;=Datos!$D$15,(K228*Datos!$C$15)))</f>
        <v>1824</v>
      </c>
      <c r="N228" s="231"/>
      <c r="O228" s="231">
        <f t="shared" si="21"/>
        <v>56454</v>
      </c>
      <c r="P228" s="223">
        <f>IF(O228&lt;=Datos!$G$7,"0",IF(O228&lt;=Datos!$G$8,(O228-Datos!$F$8)*Datos!$I$6,IF(O228&lt;=Datos!$G$9,Datos!$I$8+(O228-Datos!$F$9)*Datos!$J$6,IF(O228&gt;=Datos!$F$10,(Datos!$I$8+Datos!$J$8)+(O228-Datos!$F$10)*Datos!$K$6))))-W228</f>
        <v>3486.6756666666661</v>
      </c>
      <c r="Q228" s="231">
        <v>0</v>
      </c>
      <c r="R228" s="234"/>
      <c r="S228" s="234"/>
      <c r="T228" s="234"/>
      <c r="U228" s="234"/>
      <c r="V228" s="234">
        <v>25</v>
      </c>
      <c r="W228" s="231"/>
      <c r="X228" s="234">
        <f t="shared" si="29"/>
        <v>7057.6756666666661</v>
      </c>
      <c r="Y228" s="234">
        <f t="shared" si="25"/>
        <v>52942.324333333338</v>
      </c>
      <c r="Z228" s="296">
        <v>9607405784</v>
      </c>
      <c r="AA228" s="298">
        <v>45536</v>
      </c>
      <c r="AB228" s="235"/>
      <c r="AC228" s="264"/>
    </row>
    <row r="229" spans="1:29" s="236" customFormat="1" x14ac:dyDescent="0.25">
      <c r="A229" s="232"/>
      <c r="B229" s="302">
        <v>223</v>
      </c>
      <c r="C229" s="295" t="s">
        <v>461</v>
      </c>
      <c r="D229" s="232" t="s">
        <v>702</v>
      </c>
      <c r="E229" s="232" t="s">
        <v>85</v>
      </c>
      <c r="F229" s="232" t="s">
        <v>87</v>
      </c>
      <c r="G229" s="295">
        <v>5</v>
      </c>
      <c r="H229" s="296" t="s">
        <v>1210</v>
      </c>
      <c r="I229" s="297" t="s">
        <v>1062</v>
      </c>
      <c r="J229" s="232" t="s">
        <v>963</v>
      </c>
      <c r="K229" s="233">
        <v>60000</v>
      </c>
      <c r="L229" s="284">
        <f>IF(K229&gt;=Datos!$D$14,(Datos!$D$14*Datos!$C$14),IF(K229&lt;=Datos!$D$14,(K229*Datos!$C$14)))</f>
        <v>1722</v>
      </c>
      <c r="M229" s="284">
        <f>IF(K229&gt;=Datos!$D$15,(Datos!$D$15*Datos!$C$15),IF(K229&lt;=Datos!$D$15,(K229*Datos!$C$15)))</f>
        <v>1824</v>
      </c>
      <c r="N229" s="231"/>
      <c r="O229" s="231">
        <f t="shared" si="21"/>
        <v>56454</v>
      </c>
      <c r="P229" s="223">
        <f>IF(O229&lt;=Datos!$G$7,"0",IF(O229&lt;=Datos!$G$8,(O229-Datos!$F$8)*Datos!$I$6,IF(O229&lt;=Datos!$G$9,Datos!$I$8+(O229-Datos!$F$9)*Datos!$J$6,IF(O229&gt;=Datos!$F$10,(Datos!$I$8+Datos!$J$8)+(O229-Datos!$F$10)*Datos!$K$6))))-W229</f>
        <v>3486.6756666666661</v>
      </c>
      <c r="Q229" s="231">
        <f>IFERROR(VLOOKUP(C229,[1]Hoja1!$D$5:$E$58,2,FALSE),0)</f>
        <v>0</v>
      </c>
      <c r="R229" s="234"/>
      <c r="S229" s="234"/>
      <c r="T229" s="234"/>
      <c r="U229" s="234"/>
      <c r="V229" s="234">
        <v>25</v>
      </c>
      <c r="W229" s="231"/>
      <c r="X229" s="234">
        <f t="shared" si="29"/>
        <v>7057.6756666666661</v>
      </c>
      <c r="Y229" s="234">
        <f t="shared" si="25"/>
        <v>52942.324333333338</v>
      </c>
      <c r="Z229" s="296" t="s">
        <v>222</v>
      </c>
      <c r="AA229" s="298">
        <v>44531</v>
      </c>
      <c r="AB229" s="235"/>
      <c r="AC229" s="264"/>
    </row>
    <row r="230" spans="1:29" s="236" customFormat="1" x14ac:dyDescent="0.25">
      <c r="A230" s="232"/>
      <c r="B230" s="302">
        <v>224</v>
      </c>
      <c r="C230" s="295" t="s">
        <v>874</v>
      </c>
      <c r="D230" s="232" t="s">
        <v>875</v>
      </c>
      <c r="E230" s="232" t="s">
        <v>85</v>
      </c>
      <c r="F230" s="232" t="s">
        <v>87</v>
      </c>
      <c r="G230" s="295">
        <v>5</v>
      </c>
      <c r="H230" s="296" t="s">
        <v>1210</v>
      </c>
      <c r="I230" s="297" t="s">
        <v>1062</v>
      </c>
      <c r="J230" s="232" t="s">
        <v>850</v>
      </c>
      <c r="K230" s="233">
        <f>25000+10000</f>
        <v>35000</v>
      </c>
      <c r="L230" s="284">
        <f>IF(K230&gt;=Datos!$D$14,(Datos!$D$14*Datos!$C$14),IF(K230&lt;=Datos!$D$14,(K230*Datos!$C$14)))</f>
        <v>1004.5</v>
      </c>
      <c r="M230" s="284">
        <f>IF(K230&gt;=Datos!$D$15,(Datos!$D$15*Datos!$C$15),IF(K230&lt;=Datos!$D$15,(K230*Datos!$C$15)))</f>
        <v>1064</v>
      </c>
      <c r="N230" s="231"/>
      <c r="O230" s="231">
        <f t="shared" ref="O230:O302" si="33">K230-(L230+M230+N230)</f>
        <v>32931.5</v>
      </c>
      <c r="P230" s="223">
        <f>IF(O230&lt;=Datos!$G$7,"0",IF(O230&lt;=Datos!$G$8,(O230-Datos!$F$8)*Datos!$I$6,IF(O230&lt;=Datos!$G$9,Datos!$I$8+(O230-Datos!$F$9)*Datos!$J$6,IF(O230&gt;=Datos!$F$10,(Datos!$I$8+Datos!$J$8)+(O230-Datos!$F$10)*Datos!$K$6))))-W230</f>
        <v>0</v>
      </c>
      <c r="Q230" s="231">
        <f>IFERROR(VLOOKUP(C230,[1]Hoja1!$D$5:$E$58,2,FALSE),0)</f>
        <v>0</v>
      </c>
      <c r="R230" s="234"/>
      <c r="S230" s="234"/>
      <c r="T230" s="234"/>
      <c r="U230" s="234"/>
      <c r="V230" s="234">
        <v>25</v>
      </c>
      <c r="W230" s="231"/>
      <c r="X230" s="234">
        <f t="shared" si="29"/>
        <v>2093.5</v>
      </c>
      <c r="Y230" s="234">
        <f t="shared" si="25"/>
        <v>32906.5</v>
      </c>
      <c r="Z230" s="296" t="s">
        <v>883</v>
      </c>
      <c r="AA230" s="298"/>
      <c r="AB230" s="235"/>
      <c r="AC230" s="264"/>
    </row>
    <row r="231" spans="1:29" s="236" customFormat="1" x14ac:dyDescent="0.25">
      <c r="A231" s="232"/>
      <c r="B231" s="302">
        <v>225</v>
      </c>
      <c r="C231" s="295" t="s">
        <v>462</v>
      </c>
      <c r="D231" s="232" t="s">
        <v>703</v>
      </c>
      <c r="E231" s="232" t="s">
        <v>85</v>
      </c>
      <c r="F231" s="232" t="s">
        <v>87</v>
      </c>
      <c r="G231" s="295">
        <v>5</v>
      </c>
      <c r="H231" s="296" t="s">
        <v>1662</v>
      </c>
      <c r="I231" s="297" t="s">
        <v>1060</v>
      </c>
      <c r="J231" s="232" t="s">
        <v>837</v>
      </c>
      <c r="K231" s="233">
        <v>65000</v>
      </c>
      <c r="L231" s="284">
        <f>IF(K231&gt;=Datos!$D$14,(Datos!$D$14*Datos!$C$14),IF(K231&lt;=Datos!$D$14,(K231*Datos!$C$14)))</f>
        <v>1865.5</v>
      </c>
      <c r="M231" s="284">
        <f>IF(K231&gt;=Datos!$D$15,(Datos!$D$15*Datos!$C$15),IF(K231&lt;=Datos!$D$15,(K231*Datos!$C$15)))</f>
        <v>1976</v>
      </c>
      <c r="N231" s="231"/>
      <c r="O231" s="231">
        <f>K231-(L231+M231+N231)</f>
        <v>61158.5</v>
      </c>
      <c r="P231" s="223">
        <f>IF(O231&lt;=Datos!$G$7,"0",IF(O231&lt;=Datos!$G$8,(O231-Datos!$F$8)*Datos!$I$6,IF(O231&lt;=Datos!$G$9,Datos!$I$8+(O231-Datos!$F$9)*Datos!$J$6,IF(O231&gt;=Datos!$F$10,(Datos!$I$8+Datos!$J$8)+(O231-Datos!$F$10)*Datos!$K$6))))-W231</f>
        <v>4427.5756666666657</v>
      </c>
      <c r="Q231" s="231">
        <f>IFERROR(VLOOKUP(C231,[1]Hoja1!$D$5:$E$58,2,FALSE),0)</f>
        <v>0</v>
      </c>
      <c r="R231" s="234"/>
      <c r="S231" s="234"/>
      <c r="T231" s="234"/>
      <c r="U231" s="234"/>
      <c r="V231" s="234">
        <v>25</v>
      </c>
      <c r="W231" s="231"/>
      <c r="X231" s="234">
        <f>SUM(P231:V231)+(L231+M231+N231)-W231</f>
        <v>8294.0756666666657</v>
      </c>
      <c r="Y231" s="234">
        <f t="shared" si="25"/>
        <v>56705.924333333336</v>
      </c>
      <c r="Z231" s="296" t="s">
        <v>223</v>
      </c>
      <c r="AA231" s="298">
        <v>44197</v>
      </c>
      <c r="AB231" s="235"/>
      <c r="AC231" s="264"/>
    </row>
    <row r="232" spans="1:29" s="236" customFormat="1" x14ac:dyDescent="0.25">
      <c r="A232" s="232"/>
      <c r="B232" s="302">
        <v>226</v>
      </c>
      <c r="C232" s="295" t="s">
        <v>1647</v>
      </c>
      <c r="D232" s="232" t="s">
        <v>1648</v>
      </c>
      <c r="E232" s="232" t="s">
        <v>85</v>
      </c>
      <c r="F232" s="232" t="s">
        <v>87</v>
      </c>
      <c r="G232" s="295">
        <v>5</v>
      </c>
      <c r="H232" s="296" t="s">
        <v>1383</v>
      </c>
      <c r="I232" s="297" t="s">
        <v>1062</v>
      </c>
      <c r="J232" s="232" t="s">
        <v>1520</v>
      </c>
      <c r="K232" s="233">
        <v>35000</v>
      </c>
      <c r="L232" s="284">
        <f>IF(K232&gt;=Datos!$D$14,(Datos!$D$14*Datos!$C$14),IF(K232&lt;=Datos!$D$14,(K232*Datos!$C$14)))</f>
        <v>1004.5</v>
      </c>
      <c r="M232" s="284">
        <f>IF(K232&gt;=Datos!$D$15,(Datos!$D$15*Datos!$C$15),IF(K232&lt;=Datos!$D$15,(K232*Datos!$C$15)))</f>
        <v>1064</v>
      </c>
      <c r="N232" s="231"/>
      <c r="O232" s="231">
        <f>K232-(L232+M232+N232)</f>
        <v>32931.5</v>
      </c>
      <c r="P232" s="223">
        <f>IF(O232&lt;=Datos!$G$7,"0",IF(O232&lt;=Datos!$G$8,(O232-Datos!$F$8)*Datos!$I$6,IF(O232&lt;=Datos!$G$9,Datos!$I$8+(O232-Datos!$F$9)*Datos!$J$6,IF(O232&gt;=Datos!$F$10,(Datos!$I$8+Datos!$J$8)+(O232-Datos!$F$10)*Datos!$K$6))))-W232</f>
        <v>0</v>
      </c>
      <c r="Q232" s="231">
        <v>0</v>
      </c>
      <c r="R232" s="234"/>
      <c r="S232" s="234"/>
      <c r="T232" s="234"/>
      <c r="U232" s="234"/>
      <c r="V232" s="234">
        <v>25</v>
      </c>
      <c r="W232" s="231"/>
      <c r="X232" s="234">
        <f>SUM(P232:V232)+(L232+M232+N232)-W232</f>
        <v>2093.5</v>
      </c>
      <c r="Y232" s="234">
        <f t="shared" si="25"/>
        <v>32906.5</v>
      </c>
      <c r="Z232" s="296">
        <v>9607405820</v>
      </c>
      <c r="AA232" s="298">
        <v>45536</v>
      </c>
      <c r="AB232" s="235"/>
      <c r="AC232" s="264"/>
    </row>
    <row r="233" spans="1:29" s="236" customFormat="1" x14ac:dyDescent="0.25">
      <c r="A233" s="232"/>
      <c r="B233" s="302">
        <v>227</v>
      </c>
      <c r="C233" s="295" t="s">
        <v>1645</v>
      </c>
      <c r="D233" s="232" t="s">
        <v>1646</v>
      </c>
      <c r="E233" s="232" t="s">
        <v>85</v>
      </c>
      <c r="F233" s="232" t="s">
        <v>87</v>
      </c>
      <c r="G233" s="295">
        <v>1</v>
      </c>
      <c r="H233" s="296" t="s">
        <v>1548</v>
      </c>
      <c r="I233" s="297" t="s">
        <v>1062</v>
      </c>
      <c r="J233" s="232" t="s">
        <v>833</v>
      </c>
      <c r="K233" s="233">
        <v>17500</v>
      </c>
      <c r="L233" s="284">
        <f>IF(K233&gt;=Datos!$D$14,(Datos!$D$14*Datos!$C$14),IF(K233&lt;=Datos!$D$14,(K233*Datos!$C$14)))</f>
        <v>502.25</v>
      </c>
      <c r="M233" s="284">
        <f>IF(K233&gt;=Datos!$D$15,(Datos!$D$15*Datos!$C$15),IF(K233&lt;=Datos!$D$15,(K233*Datos!$C$15)))</f>
        <v>532</v>
      </c>
      <c r="N233" s="231"/>
      <c r="O233" s="231">
        <f>K233-(L233+M233+N233)</f>
        <v>16465.75</v>
      </c>
      <c r="P233" s="223">
        <f>IF(O233&lt;=Datos!$G$7,"0",IF(O233&lt;=Datos!$G$8,(O233-Datos!$F$8)*Datos!$I$6,IF(O233&lt;=Datos!$G$9,Datos!$I$8+(O233-Datos!$F$9)*Datos!$J$6,IF(O233&gt;=Datos!$F$10,(Datos!$I$8+Datos!$J$8)+(O233-Datos!$F$10)*Datos!$K$6))))-W233</f>
        <v>0</v>
      </c>
      <c r="Q233" s="231">
        <v>0</v>
      </c>
      <c r="R233" s="234"/>
      <c r="S233" s="234"/>
      <c r="T233" s="234"/>
      <c r="U233" s="234"/>
      <c r="V233" s="234">
        <v>25</v>
      </c>
      <c r="W233" s="231"/>
      <c r="X233" s="234">
        <f>SUM(P233:V233)+(L233+M233+N233)-W233</f>
        <v>1059.25</v>
      </c>
      <c r="Y233" s="234">
        <f t="shared" si="25"/>
        <v>16440.75</v>
      </c>
      <c r="Z233" s="296">
        <v>9607405805</v>
      </c>
      <c r="AA233" s="298">
        <v>45536</v>
      </c>
      <c r="AB233" s="235"/>
      <c r="AC233" s="264"/>
    </row>
    <row r="234" spans="1:29" s="236" customFormat="1" x14ac:dyDescent="0.25">
      <c r="A234" s="232"/>
      <c r="B234" s="302">
        <v>228</v>
      </c>
      <c r="C234" s="295" t="s">
        <v>1619</v>
      </c>
      <c r="D234" s="232" t="s">
        <v>1620</v>
      </c>
      <c r="E234" s="232" t="s">
        <v>86</v>
      </c>
      <c r="F234" s="232" t="s">
        <v>87</v>
      </c>
      <c r="G234" s="295">
        <v>1</v>
      </c>
      <c r="H234" s="296" t="s">
        <v>1548</v>
      </c>
      <c r="I234" s="297" t="s">
        <v>1067</v>
      </c>
      <c r="J234" s="232" t="s">
        <v>833</v>
      </c>
      <c r="K234" s="233">
        <v>17500</v>
      </c>
      <c r="L234" s="284">
        <f>IF(K234&gt;=Datos!$D$14,(Datos!$D$14*Datos!$C$14),IF(K234&lt;=Datos!$D$14,(K234*Datos!$C$14)))</f>
        <v>502.25</v>
      </c>
      <c r="M234" s="284">
        <f>IF(K234&gt;=Datos!$D$15,(Datos!$D$15*Datos!$C$15),IF(K234&lt;=Datos!$D$15,(K234*Datos!$C$15)))</f>
        <v>532</v>
      </c>
      <c r="N234" s="231"/>
      <c r="O234" s="231">
        <f t="shared" si="33"/>
        <v>16465.75</v>
      </c>
      <c r="P234" s="223">
        <f>IF(O234&lt;=Datos!$G$7,"0",IF(O234&lt;=Datos!$G$8,(O234-Datos!$F$8)*Datos!$I$6,IF(O234&lt;=Datos!$G$9,Datos!$I$8+(O234-Datos!$F$9)*Datos!$J$6,IF(O234&gt;=Datos!$F$10,(Datos!$I$8+Datos!$J$8)+(O234-Datos!$F$10)*Datos!$K$6))))-W234</f>
        <v>0</v>
      </c>
      <c r="Q234" s="231">
        <v>0</v>
      </c>
      <c r="R234" s="234"/>
      <c r="S234" s="234"/>
      <c r="T234" s="234"/>
      <c r="U234" s="234"/>
      <c r="V234" s="234">
        <v>25</v>
      </c>
      <c r="W234" s="231"/>
      <c r="X234" s="234">
        <f t="shared" si="29"/>
        <v>1059.25</v>
      </c>
      <c r="Y234" s="234">
        <f t="shared" si="25"/>
        <v>16440.75</v>
      </c>
      <c r="Z234" s="296">
        <v>9607405811</v>
      </c>
      <c r="AA234" s="298">
        <v>45536</v>
      </c>
      <c r="AB234" s="235"/>
      <c r="AC234" s="264"/>
    </row>
    <row r="235" spans="1:29" s="236" customFormat="1" x14ac:dyDescent="0.25">
      <c r="A235" s="232"/>
      <c r="B235" s="302">
        <v>229</v>
      </c>
      <c r="C235" s="295" t="s">
        <v>1268</v>
      </c>
      <c r="D235" s="232" t="s">
        <v>1269</v>
      </c>
      <c r="E235" s="232" t="s">
        <v>85</v>
      </c>
      <c r="F235" s="232" t="s">
        <v>87</v>
      </c>
      <c r="G235" s="295">
        <v>5</v>
      </c>
      <c r="H235" s="296" t="s">
        <v>1210</v>
      </c>
      <c r="I235" s="297" t="s">
        <v>1061</v>
      </c>
      <c r="J235" s="232" t="s">
        <v>1568</v>
      </c>
      <c r="K235" s="233">
        <v>68250</v>
      </c>
      <c r="L235" s="284">
        <f>IF(K235&gt;=Datos!$D$14,(Datos!$D$14*Datos!$C$14),IF(K235&lt;=Datos!$D$14,(K235*Datos!$C$14)))</f>
        <v>1958.7750000000001</v>
      </c>
      <c r="M235" s="284">
        <f>IF(K235&gt;=Datos!$D$15,(Datos!$D$15*Datos!$C$15),IF(K235&lt;=Datos!$D$15,(K235*Datos!$C$15)))</f>
        <v>2074.8000000000002</v>
      </c>
      <c r="N235" s="231"/>
      <c r="O235" s="231">
        <f t="shared" si="33"/>
        <v>64216.425000000003</v>
      </c>
      <c r="P235" s="223">
        <f>IF(O235&lt;=Datos!$G$7,"0",IF(O235&lt;=Datos!$G$8,(O235-Datos!$F$8)*Datos!$I$6,IF(O235&lt;=Datos!$G$9,Datos!$I$8+(O235-Datos!$F$9)*Datos!$J$6,IF(O235&gt;=Datos!$F$10,(Datos!$I$8+Datos!$J$8)+(O235-Datos!$F$10)*Datos!$K$6))))-W235</f>
        <v>5039.1606666666667</v>
      </c>
      <c r="Q235" s="231">
        <v>4000</v>
      </c>
      <c r="R235" s="234"/>
      <c r="S235" s="234"/>
      <c r="T235" s="234"/>
      <c r="U235" s="234"/>
      <c r="V235" s="234">
        <v>25</v>
      </c>
      <c r="W235" s="231"/>
      <c r="X235" s="234">
        <f t="shared" si="29"/>
        <v>13097.735666666667</v>
      </c>
      <c r="Y235" s="234">
        <f t="shared" si="25"/>
        <v>55152.264333333333</v>
      </c>
      <c r="Z235" s="296" t="s">
        <v>1270</v>
      </c>
      <c r="AA235" s="298">
        <v>45047</v>
      </c>
      <c r="AB235" s="235"/>
      <c r="AC235" s="264"/>
    </row>
    <row r="236" spans="1:29" s="236" customFormat="1" x14ac:dyDescent="0.25">
      <c r="A236" s="232"/>
      <c r="B236" s="302">
        <v>230</v>
      </c>
      <c r="C236" s="295" t="s">
        <v>1857</v>
      </c>
      <c r="D236" s="232" t="s">
        <v>1867</v>
      </c>
      <c r="E236" s="232" t="s">
        <v>85</v>
      </c>
      <c r="F236" s="232" t="s">
        <v>87</v>
      </c>
      <c r="G236" s="295">
        <v>1</v>
      </c>
      <c r="H236" s="296" t="s">
        <v>1721</v>
      </c>
      <c r="I236" s="297" t="s">
        <v>1187</v>
      </c>
      <c r="J236" s="232" t="s">
        <v>841</v>
      </c>
      <c r="K236" s="233">
        <v>35000</v>
      </c>
      <c r="L236" s="284">
        <f>IF(K236&gt;=Datos!$D$14,(Datos!$D$14*Datos!$C$14),IF(K236&lt;=Datos!$D$14,(K236*Datos!$C$14)))</f>
        <v>1004.5</v>
      </c>
      <c r="M236" s="284">
        <f>IF(K236&gt;=Datos!$D$15,(Datos!$D$15*Datos!$C$15),IF(K236&lt;=Datos!$D$15,(K236*Datos!$C$15)))</f>
        <v>1064</v>
      </c>
      <c r="N236" s="231"/>
      <c r="O236" s="231">
        <f t="shared" ref="O236" si="34">K236-(L236+M236+N236)</f>
        <v>32931.5</v>
      </c>
      <c r="P236" s="223">
        <f>IF(O236&lt;=Datos!$G$7,"0",IF(O236&lt;=Datos!$G$8,(O236-Datos!$F$8)*Datos!$I$6,IF(O236&lt;=Datos!$G$9,Datos!$I$8+(O236-Datos!$F$9)*Datos!$J$6,IF(O236&gt;=Datos!$F$10,(Datos!$I$8+Datos!$J$8)+(O236-Datos!$F$10)*Datos!$K$6))))-W236</f>
        <v>0</v>
      </c>
      <c r="Q236" s="231"/>
      <c r="R236" s="234"/>
      <c r="S236" s="234"/>
      <c r="T236" s="234"/>
      <c r="U236" s="234"/>
      <c r="V236" s="234">
        <v>25</v>
      </c>
      <c r="W236" s="231"/>
      <c r="X236" s="234">
        <f t="shared" ref="X236" si="35">SUM(P236:V236)+(L236+M236+N236)-W236</f>
        <v>2093.5</v>
      </c>
      <c r="Y236" s="234">
        <f t="shared" ref="Y236" si="36">+K236-X236</f>
        <v>32906.5</v>
      </c>
      <c r="Z236" s="296">
        <v>9607759023</v>
      </c>
      <c r="AA236" s="298">
        <v>45627</v>
      </c>
      <c r="AB236" s="235"/>
      <c r="AC236" s="264"/>
    </row>
    <row r="237" spans="1:29" s="236" customFormat="1" x14ac:dyDescent="0.25">
      <c r="A237" s="232"/>
      <c r="B237" s="302">
        <v>231</v>
      </c>
      <c r="C237" s="295" t="s">
        <v>1637</v>
      </c>
      <c r="D237" s="232" t="s">
        <v>1638</v>
      </c>
      <c r="E237" s="232" t="s">
        <v>85</v>
      </c>
      <c r="F237" s="232" t="s">
        <v>87</v>
      </c>
      <c r="G237" s="295">
        <v>1</v>
      </c>
      <c r="H237" s="296" t="s">
        <v>1502</v>
      </c>
      <c r="I237" s="297" t="s">
        <v>1067</v>
      </c>
      <c r="J237" s="232" t="s">
        <v>1607</v>
      </c>
      <c r="K237" s="233">
        <v>50000</v>
      </c>
      <c r="L237" s="284">
        <f>IF(K237&gt;=Datos!$D$14,(Datos!$D$14*Datos!$C$14),IF(K237&lt;=Datos!$D$14,(K237*Datos!$C$14)))</f>
        <v>1435</v>
      </c>
      <c r="M237" s="284">
        <f>IF(K237&gt;=Datos!$D$15,(Datos!$D$15*Datos!$C$15),IF(K237&lt;=Datos!$D$15,(K237*Datos!$C$15)))</f>
        <v>1520</v>
      </c>
      <c r="N237" s="231"/>
      <c r="O237" s="231">
        <f t="shared" si="33"/>
        <v>47045</v>
      </c>
      <c r="P237" s="223">
        <f>IF(O237&lt;=Datos!$G$7,"0",IF(O237&lt;=Datos!$G$8,(O237-Datos!$F$8)*Datos!$I$6,IF(O237&lt;=Datos!$G$9,Datos!$I$8+(O237-Datos!$F$9)*Datos!$J$6,IF(O237&gt;=Datos!$F$10,(Datos!$I$8+Datos!$J$8)+(O237-Datos!$F$10)*Datos!$K$6))))-W237</f>
        <v>1853.9984999999997</v>
      </c>
      <c r="Q237" s="231">
        <v>0</v>
      </c>
      <c r="R237" s="234"/>
      <c r="S237" s="234"/>
      <c r="T237" s="234"/>
      <c r="U237" s="234"/>
      <c r="V237" s="234">
        <v>25</v>
      </c>
      <c r="W237" s="231"/>
      <c r="X237" s="234">
        <f t="shared" si="29"/>
        <v>4833.9984999999997</v>
      </c>
      <c r="Y237" s="234">
        <f t="shared" si="25"/>
        <v>45166.001499999998</v>
      </c>
      <c r="Z237" s="296">
        <v>9607405807</v>
      </c>
      <c r="AA237" s="298">
        <v>45536</v>
      </c>
      <c r="AB237" s="235"/>
      <c r="AC237" s="264"/>
    </row>
    <row r="238" spans="1:29" s="236" customFormat="1" x14ac:dyDescent="0.25">
      <c r="A238" s="232"/>
      <c r="B238" s="302">
        <v>232</v>
      </c>
      <c r="C238" s="295" t="s">
        <v>1085</v>
      </c>
      <c r="D238" s="232" t="s">
        <v>1087</v>
      </c>
      <c r="E238" s="232" t="s">
        <v>85</v>
      </c>
      <c r="F238" s="232" t="s">
        <v>87</v>
      </c>
      <c r="G238" s="295">
        <v>5</v>
      </c>
      <c r="H238" s="296" t="s">
        <v>1210</v>
      </c>
      <c r="I238" s="297" t="s">
        <v>1067</v>
      </c>
      <c r="J238" s="232" t="s">
        <v>1086</v>
      </c>
      <c r="K238" s="233">
        <v>60000</v>
      </c>
      <c r="L238" s="284">
        <f>IF(K238&gt;=Datos!$D$14,(Datos!$D$14*Datos!$C$14),IF(K238&lt;=Datos!$D$14,(K238*Datos!$C$14)))</f>
        <v>1722</v>
      </c>
      <c r="M238" s="284">
        <f>IF(K238&gt;=Datos!$D$15,(Datos!$D$15*Datos!$C$15),IF(K238&lt;=Datos!$D$15,(K238*Datos!$C$15)))</f>
        <v>1824</v>
      </c>
      <c r="N238" s="231"/>
      <c r="O238" s="231">
        <f t="shared" si="33"/>
        <v>56454</v>
      </c>
      <c r="P238" s="223">
        <f>IF(O238&lt;=Datos!$G$7,"0",IF(O238&lt;=Datos!$G$8,(O238-Datos!$F$8)*Datos!$I$6,IF(O238&lt;=Datos!$G$9,Datos!$I$8+(O238-Datos!$F$9)*Datos!$J$6,IF(O238&gt;=Datos!$F$10,(Datos!$I$8+Datos!$J$8)+(O238-Datos!$F$10)*Datos!$K$6))))-W238</f>
        <v>3486.6756666666661</v>
      </c>
      <c r="Q238" s="231">
        <f>IFERROR(VLOOKUP(C238,[1]Hoja1!$D$5:$E$58,2,FALSE),0)</f>
        <v>0</v>
      </c>
      <c r="R238" s="234"/>
      <c r="S238" s="234"/>
      <c r="T238" s="234"/>
      <c r="U238" s="234"/>
      <c r="V238" s="234">
        <v>25</v>
      </c>
      <c r="W238" s="231"/>
      <c r="X238" s="234">
        <f t="shared" si="29"/>
        <v>7057.6756666666661</v>
      </c>
      <c r="Y238" s="234">
        <f t="shared" si="25"/>
        <v>52942.324333333338</v>
      </c>
      <c r="Z238" s="296"/>
      <c r="AA238" s="298">
        <v>44835</v>
      </c>
      <c r="AB238" s="235"/>
      <c r="AC238" s="264"/>
    </row>
    <row r="239" spans="1:29" s="236" customFormat="1" x14ac:dyDescent="0.25">
      <c r="A239" s="232"/>
      <c r="B239" s="302">
        <v>233</v>
      </c>
      <c r="C239" s="295" t="s">
        <v>1310</v>
      </c>
      <c r="D239" s="296" t="s">
        <v>1389</v>
      </c>
      <c r="E239" s="232" t="s">
        <v>85</v>
      </c>
      <c r="F239" s="232" t="s">
        <v>87</v>
      </c>
      <c r="G239" s="295">
        <v>4</v>
      </c>
      <c r="H239" s="296" t="s">
        <v>1211</v>
      </c>
      <c r="I239" s="297" t="s">
        <v>1067</v>
      </c>
      <c r="J239" s="232" t="s">
        <v>1019</v>
      </c>
      <c r="K239" s="233">
        <v>55000</v>
      </c>
      <c r="L239" s="284">
        <f>IF(K239&gt;=Datos!$D$14,(Datos!$D$14*Datos!$C$14),IF(K239&lt;=Datos!$D$14,(K239*Datos!$C$14)))</f>
        <v>1578.5</v>
      </c>
      <c r="M239" s="284">
        <f>IF(K239&gt;=Datos!$D$15,(Datos!$D$15*Datos!$C$15),IF(K239&lt;=Datos!$D$15,(K239*Datos!$C$15)))</f>
        <v>1672</v>
      </c>
      <c r="N239" s="231"/>
      <c r="O239" s="231">
        <f t="shared" si="33"/>
        <v>51749.5</v>
      </c>
      <c r="P239" s="223">
        <f>IF(O239&lt;=Datos!$G$7,"0",IF(O239&lt;=Datos!$G$8,(O239-Datos!$F$8)*Datos!$I$6,IF(O239&lt;=Datos!$G$9,Datos!$I$8+(O239-Datos!$F$9)*Datos!$J$6,IF(O239&gt;=Datos!$F$10,(Datos!$I$8+Datos!$J$8)+(O239-Datos!$F$10)*Datos!$K$6))))-W239</f>
        <v>2559.6734999999994</v>
      </c>
      <c r="Q239" s="231">
        <f>IFERROR(VLOOKUP(C239,[1]Hoja1!$D$5:$E$58,2,FALSE),0)</f>
        <v>0</v>
      </c>
      <c r="R239" s="234"/>
      <c r="S239" s="234"/>
      <c r="T239" s="234"/>
      <c r="U239" s="234"/>
      <c r="V239" s="234">
        <v>25</v>
      </c>
      <c r="W239" s="231"/>
      <c r="X239" s="234">
        <f t="shared" si="29"/>
        <v>5835.173499999999</v>
      </c>
      <c r="Y239" s="234">
        <f t="shared" si="25"/>
        <v>49164.826500000003</v>
      </c>
      <c r="Z239" s="296">
        <v>9606252875</v>
      </c>
      <c r="AA239" s="298">
        <v>45200</v>
      </c>
      <c r="AB239" s="235"/>
      <c r="AC239" s="264"/>
    </row>
    <row r="240" spans="1:29" s="236" customFormat="1" x14ac:dyDescent="0.25">
      <c r="A240" s="232"/>
      <c r="B240" s="302">
        <v>234</v>
      </c>
      <c r="C240" s="295" t="s">
        <v>463</v>
      </c>
      <c r="D240" s="232" t="s">
        <v>704</v>
      </c>
      <c r="E240" s="232" t="s">
        <v>85</v>
      </c>
      <c r="F240" s="232" t="s">
        <v>87</v>
      </c>
      <c r="G240" s="295">
        <v>5</v>
      </c>
      <c r="H240" s="296" t="s">
        <v>1210</v>
      </c>
      <c r="I240" s="297" t="s">
        <v>1060</v>
      </c>
      <c r="J240" s="232" t="s">
        <v>1869</v>
      </c>
      <c r="K240" s="233">
        <v>80000</v>
      </c>
      <c r="L240" s="284">
        <f>IF(K240&gt;=Datos!$D$14,(Datos!$D$14*Datos!$C$14),IF(K240&lt;=Datos!$D$14,(K240*Datos!$C$14)))</f>
        <v>2296</v>
      </c>
      <c r="M240" s="284">
        <f>IF(K240&gt;=Datos!$D$15,(Datos!$D$15*Datos!$C$15),IF(K240&lt;=Datos!$D$15,(K240*Datos!$C$15)))</f>
        <v>2432</v>
      </c>
      <c r="N240" s="231"/>
      <c r="O240" s="231">
        <f t="shared" si="33"/>
        <v>75272</v>
      </c>
      <c r="P240" s="223">
        <f>IF(O240&lt;=Datos!$G$7,"0",IF(O240&lt;=Datos!$G$8,(O240-Datos!$F$8)*Datos!$I$6,IF(O240&lt;=Datos!$G$9,Datos!$I$8+(O240-Datos!$F$9)*Datos!$J$6,IF(O240&gt;=Datos!$F$10,(Datos!$I$8+Datos!$J$8)+(O240-Datos!$F$10)*Datos!$K$6))))-W240</f>
        <v>7400.8606666666674</v>
      </c>
      <c r="Q240" s="231">
        <f>IFERROR(VLOOKUP(C240,[1]Hoja1!$D$5:$E$58,2,FALSE),0)</f>
        <v>0</v>
      </c>
      <c r="R240" s="234"/>
      <c r="S240" s="234"/>
      <c r="T240" s="234"/>
      <c r="U240" s="234"/>
      <c r="V240" s="234">
        <v>25</v>
      </c>
      <c r="W240" s="231"/>
      <c r="X240" s="234">
        <f t="shared" si="29"/>
        <v>12153.860666666667</v>
      </c>
      <c r="Y240" s="234">
        <f t="shared" si="25"/>
        <v>67846.139333333325</v>
      </c>
      <c r="Z240" s="296" t="s">
        <v>224</v>
      </c>
      <c r="AA240" s="298">
        <v>44197</v>
      </c>
      <c r="AB240" s="235"/>
      <c r="AC240" s="264"/>
    </row>
    <row r="241" spans="1:29" s="236" customFormat="1" x14ac:dyDescent="0.25">
      <c r="A241" s="232"/>
      <c r="B241" s="302">
        <v>235</v>
      </c>
      <c r="C241" s="295" t="s">
        <v>1617</v>
      </c>
      <c r="D241" s="232" t="s">
        <v>1618</v>
      </c>
      <c r="E241" s="232" t="s">
        <v>86</v>
      </c>
      <c r="F241" s="232" t="s">
        <v>87</v>
      </c>
      <c r="G241" s="295">
        <v>1</v>
      </c>
      <c r="H241" s="296" t="s">
        <v>1548</v>
      </c>
      <c r="I241" s="297" t="s">
        <v>1067</v>
      </c>
      <c r="J241" s="232" t="s">
        <v>833</v>
      </c>
      <c r="K241" s="233">
        <v>17500</v>
      </c>
      <c r="L241" s="284">
        <f>IF(K241&gt;=Datos!$D$14,(Datos!$D$14*Datos!$C$14),IF(K241&lt;=Datos!$D$14,(K241*Datos!$C$14)))</f>
        <v>502.25</v>
      </c>
      <c r="M241" s="284">
        <f>IF(K241&gt;=Datos!$D$15,(Datos!$D$15*Datos!$C$15),IF(K241&lt;=Datos!$D$15,(K241*Datos!$C$15)))</f>
        <v>532</v>
      </c>
      <c r="N241" s="231"/>
      <c r="O241" s="231">
        <f t="shared" si="33"/>
        <v>16465.75</v>
      </c>
      <c r="P241" s="223">
        <f>IF(O241&lt;=Datos!$G$7,"0",IF(O241&lt;=Datos!$G$8,(O241-Datos!$F$8)*Datos!$I$6,IF(O241&lt;=Datos!$G$9,Datos!$I$8+(O241-Datos!$F$9)*Datos!$J$6,IF(O241&gt;=Datos!$F$10,(Datos!$I$8+Datos!$J$8)+(O241-Datos!$F$10)*Datos!$K$6))))-W241</f>
        <v>0</v>
      </c>
      <c r="Q241" s="231">
        <f>IFERROR(VLOOKUP(C241,[1]Hoja1!$D$5:$E$58,2,FALSE),0)</f>
        <v>0</v>
      </c>
      <c r="R241" s="234"/>
      <c r="S241" s="234"/>
      <c r="T241" s="234"/>
      <c r="U241" s="234"/>
      <c r="V241" s="234">
        <v>25</v>
      </c>
      <c r="W241" s="231"/>
      <c r="X241" s="234">
        <f t="shared" si="29"/>
        <v>1059.25</v>
      </c>
      <c r="Y241" s="234">
        <f t="shared" si="25"/>
        <v>16440.75</v>
      </c>
      <c r="Z241" s="296">
        <v>9607405786</v>
      </c>
      <c r="AA241" s="298">
        <v>45536</v>
      </c>
      <c r="AB241" s="235"/>
      <c r="AC241" s="264"/>
    </row>
    <row r="242" spans="1:29" s="236" customFormat="1" x14ac:dyDescent="0.25">
      <c r="A242" s="232"/>
      <c r="B242" s="302">
        <v>236</v>
      </c>
      <c r="C242" s="295" t="s">
        <v>1034</v>
      </c>
      <c r="D242" s="232" t="s">
        <v>1032</v>
      </c>
      <c r="E242" s="232" t="s">
        <v>85</v>
      </c>
      <c r="F242" s="232" t="s">
        <v>87</v>
      </c>
      <c r="G242" s="295">
        <v>4</v>
      </c>
      <c r="H242" s="296" t="s">
        <v>1211</v>
      </c>
      <c r="I242" s="297" t="s">
        <v>1060</v>
      </c>
      <c r="J242" s="232" t="s">
        <v>1036</v>
      </c>
      <c r="K242" s="233">
        <f>30000+3422.03</f>
        <v>33422.03</v>
      </c>
      <c r="L242" s="284">
        <f>IF(K242&gt;=Datos!$D$14,(Datos!$D$14*Datos!$C$14),IF(K242&lt;=Datos!$D$14,(K242*Datos!$C$14)))</f>
        <v>959.21226100000001</v>
      </c>
      <c r="M242" s="284">
        <f>IF(K242&gt;=Datos!$D$15,(Datos!$D$15*Datos!$C$15),IF(K242&lt;=Datos!$D$15,(K242*Datos!$C$15)))</f>
        <v>1016.029712</v>
      </c>
      <c r="N242" s="231"/>
      <c r="O242" s="231">
        <f t="shared" si="33"/>
        <v>31446.788026999999</v>
      </c>
      <c r="P242" s="223">
        <f>IF(O242&lt;=Datos!$G$7,"0",IF(O242&lt;=Datos!$G$8,(O242-Datos!$F$8)*Datos!$I$6,IF(O242&lt;=Datos!$G$9,Datos!$I$8+(O242-Datos!$F$9)*Datos!$J$6,IF(O242&gt;=Datos!$F$10,(Datos!$I$8+Datos!$J$8)+(O242-Datos!$F$10)*Datos!$K$6))))-W242</f>
        <v>0</v>
      </c>
      <c r="Q242" s="231">
        <f>IFERROR(VLOOKUP(C242,[1]Hoja1!$D$5:$E$58,2,FALSE),0)</f>
        <v>0</v>
      </c>
      <c r="R242" s="234"/>
      <c r="S242" s="234"/>
      <c r="T242" s="234"/>
      <c r="U242" s="234"/>
      <c r="V242" s="234">
        <v>25</v>
      </c>
      <c r="W242" s="231"/>
      <c r="X242" s="234">
        <f t="shared" si="29"/>
        <v>2000.2419730000001</v>
      </c>
      <c r="Y242" s="234">
        <f t="shared" si="25"/>
        <v>31421.788026999999</v>
      </c>
      <c r="Z242" s="296"/>
      <c r="AA242" s="298">
        <v>44774</v>
      </c>
      <c r="AB242" s="235"/>
      <c r="AC242" s="264"/>
    </row>
    <row r="243" spans="1:29" s="236" customFormat="1" x14ac:dyDescent="0.25">
      <c r="A243" s="232"/>
      <c r="B243" s="302">
        <v>237</v>
      </c>
      <c r="C243" s="295" t="s">
        <v>1431</v>
      </c>
      <c r="D243" s="232" t="s">
        <v>1432</v>
      </c>
      <c r="E243" s="232" t="s">
        <v>86</v>
      </c>
      <c r="F243" s="232" t="s">
        <v>87</v>
      </c>
      <c r="G243" s="295">
        <v>4</v>
      </c>
      <c r="H243" s="296" t="s">
        <v>1211</v>
      </c>
      <c r="I243" s="297" t="s">
        <v>1067</v>
      </c>
      <c r="J243" s="232" t="s">
        <v>835</v>
      </c>
      <c r="K243" s="233">
        <v>68250</v>
      </c>
      <c r="L243" s="284">
        <f>IF(K243&gt;=Datos!$D$14,(Datos!$D$14*Datos!$C$14),IF(K243&lt;=Datos!$D$14,(K243*Datos!$C$14)))</f>
        <v>1958.7750000000001</v>
      </c>
      <c r="M243" s="284">
        <f>IF(K243&gt;=Datos!$D$15,(Datos!$D$15*Datos!$C$15),IF(K243&lt;=Datos!$D$15,(K243*Datos!$C$15)))</f>
        <v>2074.8000000000002</v>
      </c>
      <c r="N243" s="231"/>
      <c r="O243" s="231">
        <f t="shared" si="33"/>
        <v>64216.425000000003</v>
      </c>
      <c r="P243" s="223">
        <f>IF(O243&lt;=Datos!$G$7,"0",IF(O243&lt;=Datos!$G$8,(O243-Datos!$F$8)*Datos!$I$6,IF(O243&lt;=Datos!$G$9,Datos!$I$8+(O243-Datos!$F$9)*Datos!$J$6,IF(O243&gt;=Datos!$F$10,(Datos!$I$8+Datos!$J$8)+(O243-Datos!$F$10)*Datos!$K$6))))-W243</f>
        <v>5039.1606666666667</v>
      </c>
      <c r="Q243" s="231">
        <v>0</v>
      </c>
      <c r="R243" s="234"/>
      <c r="S243" s="234"/>
      <c r="T243" s="234"/>
      <c r="U243" s="234"/>
      <c r="V243" s="234">
        <v>25</v>
      </c>
      <c r="W243" s="231"/>
      <c r="X243" s="234">
        <f t="shared" si="29"/>
        <v>9097.7356666666674</v>
      </c>
      <c r="Y243" s="234">
        <f t="shared" si="25"/>
        <v>59152.264333333333</v>
      </c>
      <c r="Z243" s="296">
        <v>9606355153</v>
      </c>
      <c r="AA243" s="298">
        <v>45231</v>
      </c>
      <c r="AB243" s="235"/>
      <c r="AC243" s="264"/>
    </row>
    <row r="244" spans="1:29" s="236" customFormat="1" x14ac:dyDescent="0.25">
      <c r="A244" s="232"/>
      <c r="B244" s="302">
        <v>238</v>
      </c>
      <c r="C244" s="295" t="s">
        <v>1025</v>
      </c>
      <c r="D244" s="232" t="s">
        <v>1024</v>
      </c>
      <c r="E244" s="232" t="s">
        <v>86</v>
      </c>
      <c r="F244" s="232" t="s">
        <v>87</v>
      </c>
      <c r="G244" s="295">
        <v>5</v>
      </c>
      <c r="H244" s="296" t="s">
        <v>1210</v>
      </c>
      <c r="I244" s="297" t="s">
        <v>1060</v>
      </c>
      <c r="J244" s="232" t="s">
        <v>837</v>
      </c>
      <c r="K244" s="233">
        <v>60000</v>
      </c>
      <c r="L244" s="284">
        <f>IF(K244&gt;=Datos!$D$14,(Datos!$D$14*Datos!$C$14),IF(K244&lt;=Datos!$D$14,(K244*Datos!$C$14)))</f>
        <v>1722</v>
      </c>
      <c r="M244" s="284">
        <f>IF(K244&gt;=Datos!$D$15,(Datos!$D$15*Datos!$C$15),IF(K244&lt;=Datos!$D$15,(K244*Datos!$C$15)))</f>
        <v>1824</v>
      </c>
      <c r="N244" s="231"/>
      <c r="O244" s="231">
        <f t="shared" si="33"/>
        <v>56454</v>
      </c>
      <c r="P244" s="223">
        <f>IF(O244&lt;=Datos!$G$7,"0",IF(O244&lt;=Datos!$G$8,(O244-Datos!$F$8)*Datos!$I$6,IF(O244&lt;=Datos!$G$9,Datos!$I$8+(O244-Datos!$F$9)*Datos!$J$6,IF(O244&gt;=Datos!$F$10,(Datos!$I$8+Datos!$J$8)+(O244-Datos!$F$10)*Datos!$K$6))))-W244</f>
        <v>3486.6756666666661</v>
      </c>
      <c r="Q244" s="231">
        <f>IFERROR(VLOOKUP(C244,[1]Hoja1!$D$5:$E$58,2,FALSE),0)</f>
        <v>0</v>
      </c>
      <c r="R244" s="234"/>
      <c r="S244" s="234"/>
      <c r="T244" s="234"/>
      <c r="U244" s="234"/>
      <c r="V244" s="234">
        <v>25</v>
      </c>
      <c r="W244" s="231"/>
      <c r="X244" s="234">
        <f t="shared" si="29"/>
        <v>7057.6756666666661</v>
      </c>
      <c r="Y244" s="234">
        <f t="shared" si="25"/>
        <v>52942.324333333338</v>
      </c>
      <c r="Z244" s="296" t="s">
        <v>226</v>
      </c>
      <c r="AA244" s="298">
        <v>44743</v>
      </c>
      <c r="AB244" s="235"/>
      <c r="AC244" s="264"/>
    </row>
    <row r="245" spans="1:29" s="236" customFormat="1" x14ac:dyDescent="0.25">
      <c r="A245" s="232"/>
      <c r="B245" s="302">
        <v>239</v>
      </c>
      <c r="C245" s="295" t="s">
        <v>465</v>
      </c>
      <c r="D245" s="232" t="s">
        <v>706</v>
      </c>
      <c r="E245" s="232" t="s">
        <v>85</v>
      </c>
      <c r="F245" s="232" t="s">
        <v>87</v>
      </c>
      <c r="G245" s="295">
        <v>5</v>
      </c>
      <c r="H245" s="296" t="s">
        <v>1210</v>
      </c>
      <c r="I245" s="297" t="s">
        <v>1062</v>
      </c>
      <c r="J245" s="232" t="s">
        <v>837</v>
      </c>
      <c r="K245" s="233">
        <f>58500+6500</f>
        <v>65000</v>
      </c>
      <c r="L245" s="284">
        <f>IF(K245&gt;=Datos!$D$14,(Datos!$D$14*Datos!$C$14),IF(K245&lt;=Datos!$D$14,(K245*Datos!$C$14)))</f>
        <v>1865.5</v>
      </c>
      <c r="M245" s="284">
        <f>IF(K245&gt;=Datos!$D$15,(Datos!$D$15*Datos!$C$15),IF(K245&lt;=Datos!$D$15,(K245*Datos!$C$15)))</f>
        <v>1976</v>
      </c>
      <c r="N245" s="231"/>
      <c r="O245" s="231">
        <f t="shared" si="33"/>
        <v>61158.5</v>
      </c>
      <c r="P245" s="223">
        <f>IF(O245&lt;=Datos!$G$7,"0",IF(O245&lt;=Datos!$G$8,(O245-Datos!$F$8)*Datos!$I$6,IF(O245&lt;=Datos!$G$9,Datos!$I$8+(O245-Datos!$F$9)*Datos!$J$6,IF(O245&gt;=Datos!$F$10,(Datos!$I$8+Datos!$J$8)+(O245-Datos!$F$10)*Datos!$K$6))))-W245</f>
        <v>4427.5756666666657</v>
      </c>
      <c r="Q245" s="231">
        <f>IFERROR(VLOOKUP(C245,[1]Hoja1!$D$5:$E$58,2,FALSE),0)</f>
        <v>0</v>
      </c>
      <c r="R245" s="234"/>
      <c r="S245" s="234"/>
      <c r="T245" s="234"/>
      <c r="U245" s="234"/>
      <c r="V245" s="234">
        <v>25</v>
      </c>
      <c r="W245" s="231"/>
      <c r="X245" s="234">
        <f t="shared" si="29"/>
        <v>8294.0756666666657</v>
      </c>
      <c r="Y245" s="234">
        <f t="shared" si="25"/>
        <v>56705.924333333336</v>
      </c>
      <c r="Z245" s="296" t="s">
        <v>227</v>
      </c>
      <c r="AA245" s="298">
        <v>44197</v>
      </c>
      <c r="AB245" s="235"/>
      <c r="AC245" s="264"/>
    </row>
    <row r="246" spans="1:29" s="236" customFormat="1" x14ac:dyDescent="0.25">
      <c r="A246" s="232"/>
      <c r="B246" s="302">
        <v>240</v>
      </c>
      <c r="C246" s="295" t="s">
        <v>466</v>
      </c>
      <c r="D246" s="232" t="s">
        <v>707</v>
      </c>
      <c r="E246" s="232" t="s">
        <v>85</v>
      </c>
      <c r="F246" s="232" t="s">
        <v>87</v>
      </c>
      <c r="G246" s="295">
        <v>1</v>
      </c>
      <c r="H246" s="296" t="s">
        <v>1548</v>
      </c>
      <c r="I246" s="297" t="s">
        <v>1062</v>
      </c>
      <c r="J246" s="232" t="s">
        <v>833</v>
      </c>
      <c r="K246" s="233">
        <f>13860+4140</f>
        <v>18000</v>
      </c>
      <c r="L246" s="284">
        <f>IF(K246&gt;=Datos!$D$14,(Datos!$D$14*Datos!$C$14),IF(K246&lt;=Datos!$D$14,(K246*Datos!$C$14)))</f>
        <v>516.6</v>
      </c>
      <c r="M246" s="284">
        <f>IF(K246&gt;=Datos!$D$15,(Datos!$D$15*Datos!$C$15),IF(K246&lt;=Datos!$D$15,(K246*Datos!$C$15)))</f>
        <v>547.20000000000005</v>
      </c>
      <c r="N246" s="231">
        <f>1715.46*2</f>
        <v>3430.92</v>
      </c>
      <c r="O246" s="231">
        <f t="shared" si="33"/>
        <v>13505.279999999999</v>
      </c>
      <c r="P246" s="223">
        <f>IF(O246&lt;=Datos!$G$7,"0",IF(O246&lt;=Datos!$G$8,(O246-Datos!$F$8)*Datos!$I$6,IF(O246&lt;=Datos!$G$9,Datos!$I$8+(O246-Datos!$F$9)*Datos!$J$6,IF(O246&gt;=Datos!$F$10,(Datos!$I$8+Datos!$J$8)+(O246-Datos!$F$10)*Datos!$K$6))))-W246</f>
        <v>0</v>
      </c>
      <c r="Q246" s="231">
        <f>IFERROR(VLOOKUP(C246,[1]Hoja1!$D$5:$E$58,2,FALSE),0)</f>
        <v>0</v>
      </c>
      <c r="R246" s="234"/>
      <c r="S246" s="234"/>
      <c r="T246" s="234"/>
      <c r="U246" s="234"/>
      <c r="V246" s="234">
        <v>25</v>
      </c>
      <c r="W246" s="231"/>
      <c r="X246" s="234">
        <f t="shared" si="29"/>
        <v>4519.72</v>
      </c>
      <c r="Y246" s="234">
        <f t="shared" si="25"/>
        <v>13480.279999999999</v>
      </c>
      <c r="Z246" s="296" t="s">
        <v>228</v>
      </c>
      <c r="AA246" s="298">
        <v>44197</v>
      </c>
      <c r="AB246" s="235"/>
      <c r="AC246" s="264"/>
    </row>
    <row r="247" spans="1:29" s="236" customFormat="1" x14ac:dyDescent="0.25">
      <c r="A247" s="232"/>
      <c r="B247" s="302">
        <v>241</v>
      </c>
      <c r="C247" s="295" t="s">
        <v>1386</v>
      </c>
      <c r="D247" s="296" t="s">
        <v>1374</v>
      </c>
      <c r="E247" s="232" t="s">
        <v>85</v>
      </c>
      <c r="F247" s="232" t="s">
        <v>87</v>
      </c>
      <c r="G247" s="295">
        <v>1</v>
      </c>
      <c r="H247" s="296" t="s">
        <v>1222</v>
      </c>
      <c r="I247" s="297" t="s">
        <v>1067</v>
      </c>
      <c r="J247" s="232" t="s">
        <v>1387</v>
      </c>
      <c r="K247" s="233">
        <v>50000</v>
      </c>
      <c r="L247" s="284">
        <f>IF(K247&gt;=Datos!$D$14,(Datos!$D$14*Datos!$C$14),IF(K247&lt;=Datos!$D$14,(K247*Datos!$C$14)))</f>
        <v>1435</v>
      </c>
      <c r="M247" s="284">
        <f>IF(K247&gt;=Datos!$D$15,(Datos!$D$15*Datos!$C$15),IF(K247&lt;=Datos!$D$15,(K247*Datos!$C$15)))</f>
        <v>1520</v>
      </c>
      <c r="N247" s="231"/>
      <c r="O247" s="231">
        <f t="shared" si="33"/>
        <v>47045</v>
      </c>
      <c r="P247" s="223">
        <f>IF(O247&lt;=Datos!$G$7,"0",IF(O247&lt;=Datos!$G$8,(O247-Datos!$F$8)*Datos!$I$6,IF(O247&lt;=Datos!$G$9,Datos!$I$8+(O247-Datos!$F$9)*Datos!$J$6,IF(O247&gt;=Datos!$F$10,(Datos!$I$8+Datos!$J$8)+(O247-Datos!$F$10)*Datos!$K$6))))-W247</f>
        <v>1853.9984999999997</v>
      </c>
      <c r="Q247" s="231">
        <f>IFERROR(VLOOKUP(C247,[1]Hoja1!$D$5:$E$58,2,FALSE),0)</f>
        <v>0</v>
      </c>
      <c r="R247" s="234"/>
      <c r="S247" s="234"/>
      <c r="T247" s="234"/>
      <c r="U247" s="234"/>
      <c r="V247" s="234">
        <v>25</v>
      </c>
      <c r="W247" s="231"/>
      <c r="X247" s="234">
        <f t="shared" si="29"/>
        <v>4833.9984999999997</v>
      </c>
      <c r="Y247" s="234">
        <f t="shared" si="25"/>
        <v>45166.001499999998</v>
      </c>
      <c r="Z247" s="296">
        <v>9606252881</v>
      </c>
      <c r="AA247" s="298">
        <v>45200</v>
      </c>
      <c r="AB247" s="235"/>
      <c r="AC247" s="264"/>
    </row>
    <row r="248" spans="1:29" s="236" customFormat="1" x14ac:dyDescent="0.25">
      <c r="A248" s="232"/>
      <c r="B248" s="302">
        <v>242</v>
      </c>
      <c r="C248" s="295" t="s">
        <v>467</v>
      </c>
      <c r="D248" s="232" t="s">
        <v>708</v>
      </c>
      <c r="E248" s="232" t="s">
        <v>85</v>
      </c>
      <c r="F248" s="232" t="s">
        <v>87</v>
      </c>
      <c r="G248" s="295">
        <v>1</v>
      </c>
      <c r="H248" s="296" t="s">
        <v>1548</v>
      </c>
      <c r="I248" s="297" t="s">
        <v>1060</v>
      </c>
      <c r="J248" s="232" t="s">
        <v>833</v>
      </c>
      <c r="K248" s="233">
        <f>13860+4140</f>
        <v>18000</v>
      </c>
      <c r="L248" s="284">
        <f>IF(K248&gt;=Datos!$D$14,(Datos!$D$14*Datos!$C$14),IF(K248&lt;=Datos!$D$14,(K248*Datos!$C$14)))</f>
        <v>516.6</v>
      </c>
      <c r="M248" s="284">
        <f>IF(K248&gt;=Datos!$D$15,(Datos!$D$15*Datos!$C$15),IF(K248&lt;=Datos!$D$15,(K248*Datos!$C$15)))</f>
        <v>547.20000000000005</v>
      </c>
      <c r="N248" s="231"/>
      <c r="O248" s="231">
        <f t="shared" si="33"/>
        <v>16936.2</v>
      </c>
      <c r="P248" s="223">
        <f>IF(O248&lt;=Datos!$G$7,"0",IF(O248&lt;=Datos!$G$8,(O248-Datos!$F$8)*Datos!$I$6,IF(O248&lt;=Datos!$G$9,Datos!$I$8+(O248-Datos!$F$9)*Datos!$J$6,IF(O248&gt;=Datos!$F$10,(Datos!$I$8+Datos!$J$8)+(O248-Datos!$F$10)*Datos!$K$6))))-W248</f>
        <v>0</v>
      </c>
      <c r="Q248" s="231">
        <v>6512.92</v>
      </c>
      <c r="R248" s="234"/>
      <c r="S248" s="234"/>
      <c r="T248" s="234"/>
      <c r="U248" s="234"/>
      <c r="V248" s="234">
        <v>25</v>
      </c>
      <c r="W248" s="231"/>
      <c r="X248" s="234">
        <f t="shared" si="29"/>
        <v>7601.72</v>
      </c>
      <c r="Y248" s="234">
        <f t="shared" si="25"/>
        <v>10398.279999999999</v>
      </c>
      <c r="Z248" s="296" t="s">
        <v>229</v>
      </c>
      <c r="AA248" s="298">
        <v>44197</v>
      </c>
      <c r="AB248" s="235"/>
      <c r="AC248" s="264"/>
    </row>
    <row r="249" spans="1:29" s="236" customFormat="1" x14ac:dyDescent="0.25">
      <c r="A249" s="232"/>
      <c r="B249" s="302">
        <v>243</v>
      </c>
      <c r="C249" s="295" t="s">
        <v>1012</v>
      </c>
      <c r="D249" s="232" t="s">
        <v>1005</v>
      </c>
      <c r="E249" s="232" t="s">
        <v>85</v>
      </c>
      <c r="F249" s="232" t="s">
        <v>87</v>
      </c>
      <c r="G249" s="295">
        <v>4</v>
      </c>
      <c r="H249" s="296" t="s">
        <v>1211</v>
      </c>
      <c r="I249" s="297" t="s">
        <v>1062</v>
      </c>
      <c r="J249" s="232" t="s">
        <v>930</v>
      </c>
      <c r="K249" s="233">
        <v>65000</v>
      </c>
      <c r="L249" s="284">
        <f>IF(K249&gt;=Datos!$D$14,(Datos!$D$14*Datos!$C$14),IF(K249&lt;=Datos!$D$14,(K249*Datos!$C$14)))</f>
        <v>1865.5</v>
      </c>
      <c r="M249" s="284">
        <f>IF(K249&gt;=Datos!$D$15,(Datos!$D$15*Datos!$C$15),IF(K249&lt;=Datos!$D$15,(K249*Datos!$C$15)))</f>
        <v>1976</v>
      </c>
      <c r="N249" s="231"/>
      <c r="O249" s="231">
        <f t="shared" si="33"/>
        <v>61158.5</v>
      </c>
      <c r="P249" s="223">
        <f>IF(O249&lt;=Datos!$G$7,"0",IF(O249&lt;=Datos!$G$8,(O249-Datos!$F$8)*Datos!$I$6,IF(O249&lt;=Datos!$G$9,Datos!$I$8+(O249-Datos!$F$9)*Datos!$J$6,IF(O249&gt;=Datos!$F$10,(Datos!$I$8+Datos!$J$8)+(O249-Datos!$F$10)*Datos!$K$6))))-W249</f>
        <v>4427.5756666666657</v>
      </c>
      <c r="Q249" s="231">
        <f>IFERROR(VLOOKUP(C249,[1]Hoja1!$D$5:$E$58,2,FALSE),0)</f>
        <v>0</v>
      </c>
      <c r="R249" s="234"/>
      <c r="S249" s="234"/>
      <c r="T249" s="234"/>
      <c r="U249" s="234"/>
      <c r="V249" s="234">
        <v>25</v>
      </c>
      <c r="W249" s="231"/>
      <c r="X249" s="234">
        <f t="shared" si="29"/>
        <v>8294.0756666666657</v>
      </c>
      <c r="Y249" s="234">
        <f t="shared" si="25"/>
        <v>56705.924333333336</v>
      </c>
      <c r="Z249" s="296"/>
      <c r="AA249" s="298">
        <v>44743</v>
      </c>
      <c r="AB249" s="235"/>
      <c r="AC249" s="264"/>
    </row>
    <row r="250" spans="1:29" s="236" customFormat="1" x14ac:dyDescent="0.25">
      <c r="A250" s="232"/>
      <c r="B250" s="302">
        <v>244</v>
      </c>
      <c r="C250" s="366" t="s">
        <v>468</v>
      </c>
      <c r="D250" s="367" t="s">
        <v>709</v>
      </c>
      <c r="E250" s="367" t="s">
        <v>85</v>
      </c>
      <c r="F250" s="367" t="s">
        <v>87</v>
      </c>
      <c r="G250" s="366">
        <v>5</v>
      </c>
      <c r="H250" s="368" t="s">
        <v>1210</v>
      </c>
      <c r="I250" s="369" t="s">
        <v>1062</v>
      </c>
      <c r="J250" s="367" t="s">
        <v>837</v>
      </c>
      <c r="K250" s="370">
        <v>0</v>
      </c>
      <c r="L250" s="284">
        <f>IF(K250&gt;=Datos!$D$14,(Datos!$D$14*Datos!$C$14),IF(K250&lt;=Datos!$D$14,(K250*Datos!$C$14)))</f>
        <v>0</v>
      </c>
      <c r="M250" s="284">
        <f>IF(K250&gt;=Datos!$D$15,(Datos!$D$15*Datos!$C$15),IF(K250&lt;=Datos!$D$15,(K250*Datos!$C$15)))</f>
        <v>0</v>
      </c>
      <c r="N250" s="371"/>
      <c r="O250" s="371">
        <f t="shared" si="33"/>
        <v>0</v>
      </c>
      <c r="P250" s="223">
        <f>IF(O250&lt;=Datos!$G$7,"0",IF(O250&lt;=Datos!$G$8,(O250-Datos!$F$8)*Datos!$I$6,IF(O250&lt;=Datos!$G$9,Datos!$I$8+(O250-Datos!$F$9)*Datos!$J$6,IF(O250&gt;=Datos!$F$10,(Datos!$I$8+Datos!$J$8)+(O250-Datos!$F$10)*Datos!$K$6))))-W250</f>
        <v>0</v>
      </c>
      <c r="Q250" s="371">
        <v>0</v>
      </c>
      <c r="R250" s="372"/>
      <c r="S250" s="372"/>
      <c r="T250" s="372"/>
      <c r="U250" s="372"/>
      <c r="V250" s="372">
        <v>0</v>
      </c>
      <c r="W250" s="371"/>
      <c r="X250" s="372">
        <f t="shared" si="29"/>
        <v>0</v>
      </c>
      <c r="Y250" s="372">
        <f t="shared" si="25"/>
        <v>0</v>
      </c>
      <c r="Z250" s="368" t="s">
        <v>230</v>
      </c>
      <c r="AA250" s="373">
        <v>44197</v>
      </c>
      <c r="AB250" s="235"/>
      <c r="AC250" s="264"/>
    </row>
    <row r="251" spans="1:29" s="236" customFormat="1" x14ac:dyDescent="0.25">
      <c r="A251" s="232"/>
      <c r="B251" s="302">
        <v>245</v>
      </c>
      <c r="C251" s="295" t="s">
        <v>470</v>
      </c>
      <c r="D251" s="232" t="s">
        <v>711</v>
      </c>
      <c r="E251" s="232" t="s">
        <v>85</v>
      </c>
      <c r="F251" s="232" t="s">
        <v>87</v>
      </c>
      <c r="G251" s="295">
        <v>1</v>
      </c>
      <c r="H251" s="296" t="s">
        <v>1209</v>
      </c>
      <c r="I251" s="297" t="s">
        <v>1062</v>
      </c>
      <c r="J251" s="232" t="s">
        <v>840</v>
      </c>
      <c r="K251" s="233">
        <f>58500+6500</f>
        <v>65000</v>
      </c>
      <c r="L251" s="284">
        <f>IF(K251&gt;=Datos!$D$14,(Datos!$D$14*Datos!$C$14),IF(K251&lt;=Datos!$D$14,(K251*Datos!$C$14)))</f>
        <v>1865.5</v>
      </c>
      <c r="M251" s="284">
        <f>IF(K251&gt;=Datos!$D$15,(Datos!$D$15*Datos!$C$15),IF(K251&lt;=Datos!$D$15,(K251*Datos!$C$15)))</f>
        <v>1976</v>
      </c>
      <c r="N251" s="231">
        <v>1715.46</v>
      </c>
      <c r="O251" s="231">
        <f t="shared" si="33"/>
        <v>59443.040000000001</v>
      </c>
      <c r="P251" s="223">
        <f>IF(O251&lt;=Datos!$G$7,"0",IF(O251&lt;=Datos!$G$8,(O251-Datos!$F$8)*Datos!$I$6,IF(O251&lt;=Datos!$G$9,Datos!$I$8+(O251-Datos!$F$9)*Datos!$J$6,IF(O251&gt;=Datos!$F$10,(Datos!$I$8+Datos!$J$8)+(O251-Datos!$F$10)*Datos!$K$6))))-W251</f>
        <v>4084.4836666666665</v>
      </c>
      <c r="Q251" s="231">
        <f>IFERROR(VLOOKUP(C251,[1]Hoja1!$D$5:$E$58,2,FALSE),0)</f>
        <v>0</v>
      </c>
      <c r="R251" s="234"/>
      <c r="S251" s="234"/>
      <c r="T251" s="234"/>
      <c r="U251" s="234"/>
      <c r="V251" s="234">
        <v>25</v>
      </c>
      <c r="W251" s="231"/>
      <c r="X251" s="234">
        <f t="shared" si="29"/>
        <v>9666.4436666666661</v>
      </c>
      <c r="Y251" s="234">
        <f t="shared" si="25"/>
        <v>55333.556333333334</v>
      </c>
      <c r="Z251" s="296" t="s">
        <v>232</v>
      </c>
      <c r="AA251" s="298">
        <v>44197</v>
      </c>
      <c r="AB251" s="235"/>
      <c r="AC251" s="264"/>
    </row>
    <row r="252" spans="1:29" s="236" customFormat="1" x14ac:dyDescent="0.25">
      <c r="A252" s="232"/>
      <c r="B252" s="302">
        <v>246</v>
      </c>
      <c r="C252" s="295" t="s">
        <v>469</v>
      </c>
      <c r="D252" s="232" t="s">
        <v>710</v>
      </c>
      <c r="E252" s="232" t="s">
        <v>85</v>
      </c>
      <c r="F252" s="232" t="s">
        <v>87</v>
      </c>
      <c r="G252" s="295">
        <v>5</v>
      </c>
      <c r="H252" s="296" t="s">
        <v>1210</v>
      </c>
      <c r="I252" s="297" t="s">
        <v>1061</v>
      </c>
      <c r="J252" s="232" t="s">
        <v>993</v>
      </c>
      <c r="K252" s="233">
        <f>22000+3000+10000</f>
        <v>35000</v>
      </c>
      <c r="L252" s="284">
        <f>IF(K252&gt;=Datos!$D$14,(Datos!$D$14*Datos!$C$14),IF(K252&lt;=Datos!$D$14,(K252*Datos!$C$14)))</f>
        <v>1004.5</v>
      </c>
      <c r="M252" s="284">
        <f>IF(K252&gt;=Datos!$D$15,(Datos!$D$15*Datos!$C$15),IF(K252&lt;=Datos!$D$15,(K252*Datos!$C$15)))</f>
        <v>1064</v>
      </c>
      <c r="N252" s="231">
        <v>1715.46</v>
      </c>
      <c r="O252" s="231">
        <f t="shared" si="33"/>
        <v>31216.04</v>
      </c>
      <c r="P252" s="223">
        <f>IF(O252&lt;=Datos!$G$7,"0",IF(O252&lt;=Datos!$G$8,(O252-Datos!$F$8)*Datos!$I$6,IF(O252&lt;=Datos!$G$9,Datos!$I$8+(O252-Datos!$F$9)*Datos!$J$6,IF(O252&gt;=Datos!$F$10,(Datos!$I$8+Datos!$J$8)+(O252-Datos!$F$10)*Datos!$K$6))))-W252</f>
        <v>0</v>
      </c>
      <c r="Q252" s="231">
        <v>2031.79</v>
      </c>
      <c r="R252" s="234"/>
      <c r="S252" s="234"/>
      <c r="T252" s="234"/>
      <c r="U252" s="234"/>
      <c r="V252" s="234">
        <v>25</v>
      </c>
      <c r="W252" s="231"/>
      <c r="X252" s="234">
        <f t="shared" si="29"/>
        <v>5840.75</v>
      </c>
      <c r="Y252" s="234">
        <f t="shared" si="25"/>
        <v>29159.25</v>
      </c>
      <c r="Z252" s="296" t="s">
        <v>231</v>
      </c>
      <c r="AA252" s="298">
        <v>44197</v>
      </c>
      <c r="AB252" s="235"/>
      <c r="AC252" s="264"/>
    </row>
    <row r="253" spans="1:29" s="236" customFormat="1" x14ac:dyDescent="0.25">
      <c r="A253" s="232"/>
      <c r="B253" s="302">
        <v>247</v>
      </c>
      <c r="C253" s="295" t="s">
        <v>1417</v>
      </c>
      <c r="D253" s="232" t="s">
        <v>1311</v>
      </c>
      <c r="E253" s="232" t="s">
        <v>86</v>
      </c>
      <c r="F253" s="232" t="s">
        <v>87</v>
      </c>
      <c r="G253" s="295">
        <v>1</v>
      </c>
      <c r="H253" s="296" t="s">
        <v>1828</v>
      </c>
      <c r="I253" s="297" t="s">
        <v>1067</v>
      </c>
      <c r="J253" s="232" t="s">
        <v>1274</v>
      </c>
      <c r="K253" s="233">
        <v>35000</v>
      </c>
      <c r="L253" s="284">
        <f>IF(K253&gt;=Datos!$D$14,(Datos!$D$14*Datos!$C$14),IF(K253&lt;=Datos!$D$14,(K253*Datos!$C$14)))</f>
        <v>1004.5</v>
      </c>
      <c r="M253" s="284">
        <f>IF(K253&gt;=Datos!$D$15,(Datos!$D$15*Datos!$C$15),IF(K253&lt;=Datos!$D$15,(K253*Datos!$C$15)))</f>
        <v>1064</v>
      </c>
      <c r="N253" s="231"/>
      <c r="O253" s="231">
        <f t="shared" si="33"/>
        <v>32931.5</v>
      </c>
      <c r="P253" s="223">
        <f>IF(O253&lt;=Datos!$G$7,"0",IF(O253&lt;=Datos!$G$8,(O253-Datos!$F$8)*Datos!$I$6,IF(O253&lt;=Datos!$G$9,Datos!$I$8+(O253-Datos!$F$9)*Datos!$J$6,IF(O253&gt;=Datos!$F$10,(Datos!$I$8+Datos!$J$8)+(O253-Datos!$F$10)*Datos!$K$6))))-W253</f>
        <v>0</v>
      </c>
      <c r="Q253" s="231">
        <v>8113.91</v>
      </c>
      <c r="R253" s="234"/>
      <c r="S253" s="234"/>
      <c r="T253" s="234"/>
      <c r="U253" s="234"/>
      <c r="V253" s="234">
        <v>25</v>
      </c>
      <c r="W253" s="231"/>
      <c r="X253" s="234">
        <f t="shared" si="29"/>
        <v>10207.41</v>
      </c>
      <c r="Y253" s="234">
        <f t="shared" si="25"/>
        <v>24792.59</v>
      </c>
      <c r="Z253" s="296"/>
      <c r="AA253" s="298">
        <v>45108</v>
      </c>
      <c r="AB253" s="235"/>
      <c r="AC253" s="264"/>
    </row>
    <row r="254" spans="1:29" s="236" customFormat="1" x14ac:dyDescent="0.25">
      <c r="A254" s="232"/>
      <c r="B254" s="302">
        <v>248</v>
      </c>
      <c r="C254" s="295" t="s">
        <v>471</v>
      </c>
      <c r="D254" s="232" t="s">
        <v>712</v>
      </c>
      <c r="E254" s="232" t="s">
        <v>85</v>
      </c>
      <c r="F254" s="232" t="s">
        <v>87</v>
      </c>
      <c r="G254" s="295">
        <v>5</v>
      </c>
      <c r="H254" s="296" t="s">
        <v>1210</v>
      </c>
      <c r="I254" s="297" t="s">
        <v>1061</v>
      </c>
      <c r="J254" s="232" t="s">
        <v>837</v>
      </c>
      <c r="K254" s="233">
        <f>53625+6375</f>
        <v>60000</v>
      </c>
      <c r="L254" s="284">
        <f>IF(K254&gt;=Datos!$D$14,(Datos!$D$14*Datos!$C$14),IF(K254&lt;=Datos!$D$14,(K254*Datos!$C$14)))</f>
        <v>1722</v>
      </c>
      <c r="M254" s="284">
        <f>IF(K254&gt;=Datos!$D$15,(Datos!$D$15*Datos!$C$15),IF(K254&lt;=Datos!$D$15,(K254*Datos!$C$15)))</f>
        <v>1824</v>
      </c>
      <c r="N254" s="231">
        <v>1715.46</v>
      </c>
      <c r="O254" s="231">
        <f t="shared" si="33"/>
        <v>54738.54</v>
      </c>
      <c r="P254" s="223">
        <f>IF(O254&lt;=Datos!$G$7,"0",IF(O254&lt;=Datos!$G$8,(O254-Datos!$F$8)*Datos!$I$6,IF(O254&lt;=Datos!$G$9,Datos!$I$8+(O254-Datos!$F$9)*Datos!$J$6,IF(O254&gt;=Datos!$F$10,(Datos!$I$8+Datos!$J$8)+(O254-Datos!$F$10)*Datos!$K$6))))-W254</f>
        <v>3143.5836666666664</v>
      </c>
      <c r="Q254" s="231">
        <f>IFERROR(VLOOKUP(C254,[1]Hoja1!$D$5:$E$58,2,FALSE),0)</f>
        <v>2000</v>
      </c>
      <c r="R254" s="234"/>
      <c r="S254" s="234"/>
      <c r="T254" s="234"/>
      <c r="U254" s="234"/>
      <c r="V254" s="234">
        <v>25</v>
      </c>
      <c r="W254" s="231"/>
      <c r="X254" s="234">
        <f t="shared" si="29"/>
        <v>10430.043666666666</v>
      </c>
      <c r="Y254" s="234">
        <f t="shared" si="25"/>
        <v>49569.956333333335</v>
      </c>
      <c r="Z254" s="296" t="s">
        <v>233</v>
      </c>
      <c r="AA254" s="298">
        <v>44197</v>
      </c>
      <c r="AB254" s="235"/>
      <c r="AC254" s="264"/>
    </row>
    <row r="255" spans="1:29" s="236" customFormat="1" x14ac:dyDescent="0.25">
      <c r="A255" s="232"/>
      <c r="B255" s="302">
        <v>249</v>
      </c>
      <c r="C255" s="295" t="s">
        <v>1367</v>
      </c>
      <c r="D255" s="296" t="s">
        <v>1390</v>
      </c>
      <c r="E255" s="232" t="s">
        <v>85</v>
      </c>
      <c r="F255" s="232" t="s">
        <v>87</v>
      </c>
      <c r="G255" s="295">
        <v>1</v>
      </c>
      <c r="H255" s="296" t="s">
        <v>1379</v>
      </c>
      <c r="I255" s="297" t="s">
        <v>1067</v>
      </c>
      <c r="J255" s="232" t="s">
        <v>845</v>
      </c>
      <c r="K255" s="233">
        <v>26000</v>
      </c>
      <c r="L255" s="284">
        <f>IF(K255&gt;=Datos!$D$14,(Datos!$D$14*Datos!$C$14),IF(K255&lt;=Datos!$D$14,(K255*Datos!$C$14)))</f>
        <v>746.2</v>
      </c>
      <c r="M255" s="284">
        <f>IF(K255&gt;=Datos!$D$15,(Datos!$D$15*Datos!$C$15),IF(K255&lt;=Datos!$D$15,(K255*Datos!$C$15)))</f>
        <v>790.4</v>
      </c>
      <c r="N255" s="231"/>
      <c r="O255" s="231">
        <f t="shared" si="33"/>
        <v>24463.4</v>
      </c>
      <c r="P255" s="223">
        <f>IF(O255&lt;=Datos!$G$7,"0",IF(O255&lt;=Datos!$G$8,(O255-Datos!$F$8)*Datos!$I$6,IF(O255&lt;=Datos!$G$9,Datos!$I$8+(O255-Datos!$F$9)*Datos!$J$6,IF(O255&gt;=Datos!$F$10,(Datos!$I$8+Datos!$J$8)+(O255-Datos!$F$10)*Datos!$K$6))))-W255</f>
        <v>0</v>
      </c>
      <c r="Q255" s="231">
        <v>0</v>
      </c>
      <c r="R255" s="234"/>
      <c r="S255" s="234"/>
      <c r="T255" s="234"/>
      <c r="U255" s="234"/>
      <c r="V255" s="234">
        <v>25</v>
      </c>
      <c r="W255" s="231"/>
      <c r="X255" s="234">
        <f t="shared" si="29"/>
        <v>1561.6</v>
      </c>
      <c r="Y255" s="234">
        <f t="shared" si="25"/>
        <v>24438.400000000001</v>
      </c>
      <c r="Z255" s="296">
        <v>9606252876</v>
      </c>
      <c r="AA255" s="298">
        <v>45200</v>
      </c>
      <c r="AB255" s="235"/>
      <c r="AC255" s="264"/>
    </row>
    <row r="256" spans="1:29" s="236" customFormat="1" x14ac:dyDescent="0.25">
      <c r="A256" s="232"/>
      <c r="B256" s="302">
        <v>250</v>
      </c>
      <c r="C256" s="295" t="s">
        <v>472</v>
      </c>
      <c r="D256" s="232" t="s">
        <v>713</v>
      </c>
      <c r="E256" s="232" t="s">
        <v>85</v>
      </c>
      <c r="F256" s="232" t="s">
        <v>87</v>
      </c>
      <c r="G256" s="295">
        <v>5</v>
      </c>
      <c r="H256" s="296" t="s">
        <v>1210</v>
      </c>
      <c r="I256" s="297" t="s">
        <v>1062</v>
      </c>
      <c r="J256" s="232" t="s">
        <v>837</v>
      </c>
      <c r="K256" s="233">
        <v>67567.5</v>
      </c>
      <c r="L256" s="284">
        <f>IF(K256&gt;=Datos!$D$14,(Datos!$D$14*Datos!$C$14),IF(K256&lt;=Datos!$D$14,(K256*Datos!$C$14)))</f>
        <v>1939.1872499999999</v>
      </c>
      <c r="M256" s="284">
        <f>IF(K256&gt;=Datos!$D$15,(Datos!$D$15*Datos!$C$15),IF(K256&lt;=Datos!$D$15,(K256*Datos!$C$15)))</f>
        <v>2054.0520000000001</v>
      </c>
      <c r="N256" s="231"/>
      <c r="O256" s="231">
        <f t="shared" si="33"/>
        <v>63574.260750000001</v>
      </c>
      <c r="P256" s="223">
        <f>IF(O256&lt;=Datos!$G$7,"0",IF(O256&lt;=Datos!$G$8,(O256-Datos!$F$8)*Datos!$I$6,IF(O256&lt;=Datos!$G$9,Datos!$I$8+(O256-Datos!$F$9)*Datos!$J$6,IF(O256&gt;=Datos!$F$10,(Datos!$I$8+Datos!$J$8)+(O256-Datos!$F$10)*Datos!$K$6))))-W256</f>
        <v>4910.7278166666665</v>
      </c>
      <c r="Q256" s="231">
        <f>IFERROR(VLOOKUP(C256,[1]Hoja1!$D$5:$E$58,2,FALSE),0)</f>
        <v>0</v>
      </c>
      <c r="R256" s="234"/>
      <c r="S256" s="234"/>
      <c r="T256" s="234"/>
      <c r="U256" s="234"/>
      <c r="V256" s="234">
        <v>25</v>
      </c>
      <c r="W256" s="231"/>
      <c r="X256" s="234">
        <f t="shared" si="29"/>
        <v>8928.9670666666661</v>
      </c>
      <c r="Y256" s="234">
        <f t="shared" si="25"/>
        <v>58638.532933333336</v>
      </c>
      <c r="Z256" s="296" t="s">
        <v>234</v>
      </c>
      <c r="AA256" s="298">
        <v>44197</v>
      </c>
      <c r="AB256" s="235"/>
      <c r="AC256" s="264"/>
    </row>
    <row r="257" spans="1:29" s="236" customFormat="1" x14ac:dyDescent="0.25">
      <c r="A257" s="232"/>
      <c r="B257" s="302">
        <v>251</v>
      </c>
      <c r="C257" s="295" t="s">
        <v>1732</v>
      </c>
      <c r="D257" s="232" t="s">
        <v>1768</v>
      </c>
      <c r="E257" s="232" t="s">
        <v>86</v>
      </c>
      <c r="F257" s="232" t="s">
        <v>87</v>
      </c>
      <c r="G257" s="295">
        <v>4</v>
      </c>
      <c r="H257" s="296" t="s">
        <v>1211</v>
      </c>
      <c r="I257" s="297" t="s">
        <v>1067</v>
      </c>
      <c r="J257" s="232" t="s">
        <v>831</v>
      </c>
      <c r="K257" s="233">
        <v>60000</v>
      </c>
      <c r="L257" s="284">
        <f>IF(K257&gt;=Datos!$D$14,(Datos!$D$14*Datos!$C$14),IF(K257&lt;=Datos!$D$14,(K257*Datos!$C$14)))</f>
        <v>1722</v>
      </c>
      <c r="M257" s="284">
        <f>IF(K257&gt;=Datos!$D$15,(Datos!$D$15*Datos!$C$15),IF(K257&lt;=Datos!$D$15,(K257*Datos!$C$15)))</f>
        <v>1824</v>
      </c>
      <c r="N257" s="231">
        <f>1715.46*2</f>
        <v>3430.92</v>
      </c>
      <c r="O257" s="231">
        <f t="shared" si="33"/>
        <v>53023.08</v>
      </c>
      <c r="P257" s="223">
        <f>IF(O257&lt;=Datos!$G$7,"0",IF(O257&lt;=Datos!$G$8,(O257-Datos!$F$8)*Datos!$I$6,IF(O257&lt;=Datos!$G$9,Datos!$I$8+(O257-Datos!$F$9)*Datos!$J$6,IF(O257&gt;=Datos!$F$10,(Datos!$I$8+Datos!$J$8)+(O257-Datos!$F$10)*Datos!$K$6))))-W257</f>
        <v>2800.4916666666663</v>
      </c>
      <c r="Q257" s="231">
        <f>IFERROR(VLOOKUP(C257,[1]Hoja1!$D$5:$E$58,2,FALSE),0)</f>
        <v>0</v>
      </c>
      <c r="R257" s="234"/>
      <c r="S257" s="234"/>
      <c r="T257" s="234"/>
      <c r="U257" s="234"/>
      <c r="V257" s="234">
        <v>25</v>
      </c>
      <c r="W257" s="231"/>
      <c r="X257" s="234">
        <f t="shared" si="29"/>
        <v>9802.4116666666669</v>
      </c>
      <c r="Y257" s="234">
        <f t="shared" si="25"/>
        <v>50197.588333333333</v>
      </c>
      <c r="Z257" s="296">
        <v>9607572589</v>
      </c>
      <c r="AA257" s="298">
        <v>45566</v>
      </c>
      <c r="AB257" s="235"/>
      <c r="AC257" s="264"/>
    </row>
    <row r="258" spans="1:29" s="236" customFormat="1" x14ac:dyDescent="0.25">
      <c r="A258" s="232"/>
      <c r="B258" s="302">
        <v>252</v>
      </c>
      <c r="C258" s="295" t="s">
        <v>474</v>
      </c>
      <c r="D258" s="232" t="s">
        <v>715</v>
      </c>
      <c r="E258" s="232" t="s">
        <v>86</v>
      </c>
      <c r="F258" s="232" t="s">
        <v>87</v>
      </c>
      <c r="G258" s="295">
        <v>5</v>
      </c>
      <c r="H258" s="296" t="s">
        <v>1210</v>
      </c>
      <c r="I258" s="297" t="s">
        <v>1060</v>
      </c>
      <c r="J258" s="232" t="s">
        <v>836</v>
      </c>
      <c r="K258" s="233">
        <v>80000</v>
      </c>
      <c r="L258" s="284">
        <f>IF(K258&gt;=Datos!$D$14,(Datos!$D$14*Datos!$C$14),IF(K258&lt;=Datos!$D$14,(K258*Datos!$C$14)))</f>
        <v>2296</v>
      </c>
      <c r="M258" s="284">
        <f>IF(K258&gt;=Datos!$D$15,(Datos!$D$15*Datos!$C$15),IF(K258&lt;=Datos!$D$15,(K258*Datos!$C$15)))</f>
        <v>2432</v>
      </c>
      <c r="N258" s="231"/>
      <c r="O258" s="231">
        <f t="shared" si="33"/>
        <v>75272</v>
      </c>
      <c r="P258" s="223">
        <f>IF(O258&lt;=Datos!$G$7,"0",IF(O258&lt;=Datos!$G$8,(O258-Datos!$F$8)*Datos!$I$6,IF(O258&lt;=Datos!$G$9,Datos!$I$8+(O258-Datos!$F$9)*Datos!$J$6,IF(O258&gt;=Datos!$F$10,(Datos!$I$8+Datos!$J$8)+(O258-Datos!$F$10)*Datos!$K$6))))-W258</f>
        <v>7400.8606666666674</v>
      </c>
      <c r="Q258" s="231">
        <f>IFERROR(VLOOKUP(C258,[1]Hoja1!$D$5:$E$58,2,FALSE),0)</f>
        <v>0</v>
      </c>
      <c r="R258" s="234"/>
      <c r="S258" s="234"/>
      <c r="T258" s="234"/>
      <c r="U258" s="234"/>
      <c r="V258" s="234">
        <v>25</v>
      </c>
      <c r="W258" s="231"/>
      <c r="X258" s="234">
        <f t="shared" si="29"/>
        <v>12153.860666666667</v>
      </c>
      <c r="Y258" s="234">
        <f t="shared" si="25"/>
        <v>67846.139333333325</v>
      </c>
      <c r="Z258" s="296" t="s">
        <v>236</v>
      </c>
      <c r="AA258" s="298">
        <v>44197</v>
      </c>
      <c r="AB258" s="235"/>
      <c r="AC258" s="264"/>
    </row>
    <row r="259" spans="1:29" s="236" customFormat="1" x14ac:dyDescent="0.25">
      <c r="A259" s="232"/>
      <c r="B259" s="302">
        <v>253</v>
      </c>
      <c r="C259" s="295" t="s">
        <v>475</v>
      </c>
      <c r="D259" s="232" t="s">
        <v>716</v>
      </c>
      <c r="E259" s="232" t="s">
        <v>86</v>
      </c>
      <c r="F259" s="232" t="s">
        <v>87</v>
      </c>
      <c r="G259" s="295">
        <v>4</v>
      </c>
      <c r="H259" s="296" t="s">
        <v>1211</v>
      </c>
      <c r="I259" s="297" t="s">
        <v>1060</v>
      </c>
      <c r="J259" s="232" t="s">
        <v>863</v>
      </c>
      <c r="K259" s="233">
        <f>34125+875</f>
        <v>35000</v>
      </c>
      <c r="L259" s="284">
        <f>IF(K259&gt;=Datos!$D$14,(Datos!$D$14*Datos!$C$14),IF(K259&lt;=Datos!$D$14,(K259*Datos!$C$14)))</f>
        <v>1004.5</v>
      </c>
      <c r="M259" s="284">
        <f>IF(K259&gt;=Datos!$D$15,(Datos!$D$15*Datos!$C$15),IF(K259&lt;=Datos!$D$15,(K259*Datos!$C$15)))</f>
        <v>1064</v>
      </c>
      <c r="N259" s="231"/>
      <c r="O259" s="231">
        <f t="shared" si="33"/>
        <v>32931.5</v>
      </c>
      <c r="P259" s="223">
        <f>IF(O259&lt;=Datos!$G$7,"0",IF(O259&lt;=Datos!$G$8,(O259-Datos!$F$8)*Datos!$I$6,IF(O259&lt;=Datos!$G$9,Datos!$I$8+(O259-Datos!$F$9)*Datos!$J$6,IF(O259&gt;=Datos!$F$10,(Datos!$I$8+Datos!$J$8)+(O259-Datos!$F$10)*Datos!$K$6))))-W259</f>
        <v>0</v>
      </c>
      <c r="Q259" s="231">
        <f>IFERROR(VLOOKUP(C259,[1]Hoja1!$D$5:$E$58,2,FALSE),0)</f>
        <v>0</v>
      </c>
      <c r="R259" s="234"/>
      <c r="S259" s="234"/>
      <c r="T259" s="234"/>
      <c r="U259" s="234"/>
      <c r="V259" s="234">
        <v>25</v>
      </c>
      <c r="W259" s="231"/>
      <c r="X259" s="234">
        <f t="shared" si="29"/>
        <v>2093.5</v>
      </c>
      <c r="Y259" s="234">
        <f t="shared" si="25"/>
        <v>32906.5</v>
      </c>
      <c r="Z259" s="296" t="s">
        <v>237</v>
      </c>
      <c r="AA259" s="298">
        <v>44197</v>
      </c>
      <c r="AB259" s="235"/>
      <c r="AC259" s="264"/>
    </row>
    <row r="260" spans="1:29" s="236" customFormat="1" x14ac:dyDescent="0.25">
      <c r="A260" s="232"/>
      <c r="B260" s="302">
        <v>254</v>
      </c>
      <c r="C260" s="295" t="s">
        <v>476</v>
      </c>
      <c r="D260" s="232" t="s">
        <v>717</v>
      </c>
      <c r="E260" s="232" t="s">
        <v>86</v>
      </c>
      <c r="F260" s="232" t="s">
        <v>87</v>
      </c>
      <c r="G260" s="295">
        <v>1</v>
      </c>
      <c r="H260" s="296" t="s">
        <v>1548</v>
      </c>
      <c r="I260" s="297" t="s">
        <v>1061</v>
      </c>
      <c r="J260" s="232" t="s">
        <v>833</v>
      </c>
      <c r="K260" s="233">
        <f>13860+4140</f>
        <v>18000</v>
      </c>
      <c r="L260" s="284">
        <f>IF(K260&gt;=Datos!$D$14,(Datos!$D$14*Datos!$C$14),IF(K260&lt;=Datos!$D$14,(K260*Datos!$C$14)))</f>
        <v>516.6</v>
      </c>
      <c r="M260" s="284">
        <f>IF(K260&gt;=Datos!$D$15,(Datos!$D$15*Datos!$C$15),IF(K260&lt;=Datos!$D$15,(K260*Datos!$C$15)))</f>
        <v>547.20000000000005</v>
      </c>
      <c r="N260" s="231"/>
      <c r="O260" s="231">
        <f t="shared" si="33"/>
        <v>16936.2</v>
      </c>
      <c r="P260" s="223">
        <f>IF(O260&lt;=Datos!$G$7,"0",IF(O260&lt;=Datos!$G$8,(O260-Datos!$F$8)*Datos!$I$6,IF(O260&lt;=Datos!$G$9,Datos!$I$8+(O260-Datos!$F$9)*Datos!$J$6,IF(O260&gt;=Datos!$F$10,(Datos!$I$8+Datos!$J$8)+(O260-Datos!$F$10)*Datos!$K$6))))-W260</f>
        <v>0</v>
      </c>
      <c r="Q260" s="231">
        <v>3573.42</v>
      </c>
      <c r="R260" s="234"/>
      <c r="S260" s="234"/>
      <c r="T260" s="234"/>
      <c r="U260" s="234"/>
      <c r="V260" s="234">
        <v>25</v>
      </c>
      <c r="W260" s="231"/>
      <c r="X260" s="234">
        <f t="shared" si="29"/>
        <v>4662.22</v>
      </c>
      <c r="Y260" s="234">
        <f t="shared" si="25"/>
        <v>13337.779999999999</v>
      </c>
      <c r="Z260" s="296" t="s">
        <v>238</v>
      </c>
      <c r="AA260" s="298">
        <v>44197</v>
      </c>
      <c r="AB260" s="235"/>
      <c r="AC260" s="264"/>
    </row>
    <row r="261" spans="1:29" s="236" customFormat="1" x14ac:dyDescent="0.25">
      <c r="A261" s="232"/>
      <c r="B261" s="302">
        <v>255</v>
      </c>
      <c r="C261" s="295" t="s">
        <v>1256</v>
      </c>
      <c r="D261" s="232" t="s">
        <v>1257</v>
      </c>
      <c r="E261" s="232" t="s">
        <v>85</v>
      </c>
      <c r="F261" s="232" t="s">
        <v>87</v>
      </c>
      <c r="G261" s="295">
        <v>1</v>
      </c>
      <c r="H261" s="296" t="s">
        <v>1502</v>
      </c>
      <c r="I261" s="297" t="s">
        <v>1061</v>
      </c>
      <c r="J261" s="232" t="s">
        <v>1178</v>
      </c>
      <c r="K261" s="233">
        <v>38000</v>
      </c>
      <c r="L261" s="284">
        <f>IF(K261&gt;=Datos!$D$14,(Datos!$D$14*Datos!$C$14),IF(K261&lt;=Datos!$D$14,(K261*Datos!$C$14)))</f>
        <v>1090.5999999999999</v>
      </c>
      <c r="M261" s="284">
        <f>IF(K261&gt;=Datos!$D$15,(Datos!$D$15*Datos!$C$15),IF(K261&lt;=Datos!$D$15,(K261*Datos!$C$15)))</f>
        <v>1155.2</v>
      </c>
      <c r="N261" s="231"/>
      <c r="O261" s="231">
        <f t="shared" si="33"/>
        <v>35754.199999999997</v>
      </c>
      <c r="P261" s="223">
        <f>IF(O261&lt;=Datos!$G$7,"0",IF(O261&lt;=Datos!$G$8,(O261-Datos!$F$8)*Datos!$I$6,IF(O261&lt;=Datos!$G$9,Datos!$I$8+(O261-Datos!$F$9)*Datos!$J$6,IF(O261&gt;=Datos!$F$10,(Datos!$I$8+Datos!$J$8)+(O261-Datos!$F$10)*Datos!$K$6))))-W261</f>
        <v>160.37849999999926</v>
      </c>
      <c r="Q261" s="231">
        <f>IFERROR(VLOOKUP(C261,[1]Hoja1!$D$5:$E$58,2,FALSE),0)</f>
        <v>0</v>
      </c>
      <c r="R261" s="234"/>
      <c r="S261" s="234"/>
      <c r="T261" s="234"/>
      <c r="U261" s="234"/>
      <c r="V261" s="234">
        <v>25</v>
      </c>
      <c r="W261" s="231"/>
      <c r="X261" s="234">
        <f t="shared" si="29"/>
        <v>2431.1784999999995</v>
      </c>
      <c r="Y261" s="234">
        <f t="shared" si="25"/>
        <v>35568.821499999998</v>
      </c>
      <c r="Z261" s="296">
        <v>9605725003</v>
      </c>
      <c r="AA261" s="298">
        <v>45047</v>
      </c>
      <c r="AB261" s="235"/>
      <c r="AC261" s="264"/>
    </row>
    <row r="262" spans="1:29" s="236" customFormat="1" x14ac:dyDescent="0.25">
      <c r="A262" s="232"/>
      <c r="B262" s="302">
        <v>256</v>
      </c>
      <c r="C262" s="295" t="s">
        <v>1447</v>
      </c>
      <c r="D262" s="232" t="s">
        <v>1448</v>
      </c>
      <c r="E262" s="232" t="s">
        <v>86</v>
      </c>
      <c r="F262" s="232" t="s">
        <v>87</v>
      </c>
      <c r="G262" s="295">
        <v>1</v>
      </c>
      <c r="H262" s="296" t="s">
        <v>1548</v>
      </c>
      <c r="I262" s="297" t="s">
        <v>1067</v>
      </c>
      <c r="J262" s="232" t="s">
        <v>852</v>
      </c>
      <c r="K262" s="233">
        <v>20000</v>
      </c>
      <c r="L262" s="284">
        <f>IF(K262&gt;=Datos!$D$14,(Datos!$D$14*Datos!$C$14),IF(K262&lt;=Datos!$D$14,(K262*Datos!$C$14)))</f>
        <v>574</v>
      </c>
      <c r="M262" s="284">
        <f>IF(K262&gt;=Datos!$D$15,(Datos!$D$15*Datos!$C$15),IF(K262&lt;=Datos!$D$15,(K262*Datos!$C$15)))</f>
        <v>608</v>
      </c>
      <c r="N262" s="231"/>
      <c r="O262" s="231">
        <f t="shared" si="33"/>
        <v>18818</v>
      </c>
      <c r="P262" s="223">
        <f>IF(O262&lt;=Datos!$G$7,"0",IF(O262&lt;=Datos!$G$8,(O262-Datos!$F$8)*Datos!$I$6,IF(O262&lt;=Datos!$G$9,Datos!$I$8+(O262-Datos!$F$9)*Datos!$J$6,IF(O262&gt;=Datos!$F$10,(Datos!$I$8+Datos!$J$8)+(O262-Datos!$F$10)*Datos!$K$6))))-W262</f>
        <v>0</v>
      </c>
      <c r="Q262" s="231">
        <f>IFERROR(VLOOKUP(C262,[1]Hoja1!$D$5:$E$58,2,FALSE),0)</f>
        <v>0</v>
      </c>
      <c r="R262" s="234"/>
      <c r="S262" s="234"/>
      <c r="T262" s="234"/>
      <c r="U262" s="234"/>
      <c r="V262" s="234">
        <v>25</v>
      </c>
      <c r="W262" s="231"/>
      <c r="X262" s="234">
        <f t="shared" si="29"/>
        <v>1207</v>
      </c>
      <c r="Y262" s="234">
        <f t="shared" si="25"/>
        <v>18793</v>
      </c>
      <c r="Z262" s="296"/>
      <c r="AA262" s="298">
        <v>45261</v>
      </c>
      <c r="AB262" s="235"/>
      <c r="AC262" s="264"/>
    </row>
    <row r="263" spans="1:29" s="236" customFormat="1" x14ac:dyDescent="0.25">
      <c r="A263" s="232"/>
      <c r="B263" s="302">
        <v>257</v>
      </c>
      <c r="C263" s="295" t="s">
        <v>478</v>
      </c>
      <c r="D263" s="232" t="s">
        <v>719</v>
      </c>
      <c r="E263" s="232" t="s">
        <v>86</v>
      </c>
      <c r="F263" s="232" t="s">
        <v>87</v>
      </c>
      <c r="G263" s="295">
        <v>5</v>
      </c>
      <c r="H263" s="296" t="s">
        <v>1210</v>
      </c>
      <c r="I263" s="297" t="s">
        <v>1062</v>
      </c>
      <c r="J263" s="232" t="s">
        <v>837</v>
      </c>
      <c r="K263" s="233">
        <f>64350+650</f>
        <v>65000</v>
      </c>
      <c r="L263" s="284">
        <f>IF(K263&gt;=Datos!$D$14,(Datos!$D$14*Datos!$C$14),IF(K263&lt;=Datos!$D$14,(K263*Datos!$C$14)))</f>
        <v>1865.5</v>
      </c>
      <c r="M263" s="284">
        <f>IF(K263&gt;=Datos!$D$15,(Datos!$D$15*Datos!$C$15),IF(K263&lt;=Datos!$D$15,(K263*Datos!$C$15)))</f>
        <v>1976</v>
      </c>
      <c r="N263" s="231"/>
      <c r="O263" s="231">
        <f t="shared" si="33"/>
        <v>61158.5</v>
      </c>
      <c r="P263" s="223">
        <f>IF(O263&lt;=Datos!$G$7,"0",IF(O263&lt;=Datos!$G$8,(O263-Datos!$F$8)*Datos!$I$6,IF(O263&lt;=Datos!$G$9,Datos!$I$8+(O263-Datos!$F$9)*Datos!$J$6,IF(O263&gt;=Datos!$F$10,(Datos!$I$8+Datos!$J$8)+(O263-Datos!$F$10)*Datos!$K$6))))-W263</f>
        <v>4427.5756666666657</v>
      </c>
      <c r="Q263" s="231">
        <f>IFERROR(VLOOKUP(C263,[1]Hoja1!$D$5:$E$58,2,FALSE),0)</f>
        <v>0</v>
      </c>
      <c r="R263" s="234"/>
      <c r="S263" s="234"/>
      <c r="T263" s="234"/>
      <c r="U263" s="234"/>
      <c r="V263" s="234">
        <v>25</v>
      </c>
      <c r="W263" s="231"/>
      <c r="X263" s="234">
        <f t="shared" si="29"/>
        <v>8294.0756666666657</v>
      </c>
      <c r="Y263" s="234">
        <f t="shared" si="25"/>
        <v>56705.924333333336</v>
      </c>
      <c r="Z263" s="296" t="s">
        <v>240</v>
      </c>
      <c r="AA263" s="298">
        <v>44197</v>
      </c>
      <c r="AB263" s="235"/>
      <c r="AC263" s="264"/>
    </row>
    <row r="264" spans="1:29" s="236" customFormat="1" x14ac:dyDescent="0.25">
      <c r="A264" s="232"/>
      <c r="B264" s="302">
        <v>258</v>
      </c>
      <c r="C264" s="295" t="s">
        <v>1015</v>
      </c>
      <c r="D264" s="232" t="s">
        <v>1008</v>
      </c>
      <c r="E264" s="232" t="s">
        <v>85</v>
      </c>
      <c r="F264" s="232" t="s">
        <v>87</v>
      </c>
      <c r="G264" s="295">
        <v>1</v>
      </c>
      <c r="H264" s="296" t="s">
        <v>1548</v>
      </c>
      <c r="I264" s="297" t="s">
        <v>1067</v>
      </c>
      <c r="J264" s="232" t="s">
        <v>833</v>
      </c>
      <c r="K264" s="233">
        <f>13860+4140</f>
        <v>18000</v>
      </c>
      <c r="L264" s="284">
        <f>IF(K264&gt;=Datos!$D$14,(Datos!$D$14*Datos!$C$14),IF(K264&lt;=Datos!$D$14,(K264*Datos!$C$14)))</f>
        <v>516.6</v>
      </c>
      <c r="M264" s="284">
        <f>IF(K264&gt;=Datos!$D$15,(Datos!$D$15*Datos!$C$15),IF(K264&lt;=Datos!$D$15,(K264*Datos!$C$15)))</f>
        <v>547.20000000000005</v>
      </c>
      <c r="N264" s="231"/>
      <c r="O264" s="231">
        <f t="shared" si="33"/>
        <v>16936.2</v>
      </c>
      <c r="P264" s="223">
        <f>IF(O264&lt;=Datos!$G$7,"0",IF(O264&lt;=Datos!$G$8,(O264-Datos!$F$8)*Datos!$I$6,IF(O264&lt;=Datos!$G$9,Datos!$I$8+(O264-Datos!$F$9)*Datos!$J$6,IF(O264&gt;=Datos!$F$10,(Datos!$I$8+Datos!$J$8)+(O264-Datos!$F$10)*Datos!$K$6))))-W264</f>
        <v>0</v>
      </c>
      <c r="Q264" s="231">
        <f>IFERROR(VLOOKUP(C264,[1]Hoja1!$D$5:$E$58,2,FALSE),0)</f>
        <v>0</v>
      </c>
      <c r="R264" s="234"/>
      <c r="S264" s="234"/>
      <c r="T264" s="234"/>
      <c r="U264" s="234"/>
      <c r="V264" s="234">
        <v>25</v>
      </c>
      <c r="W264" s="231"/>
      <c r="X264" s="234">
        <f t="shared" si="29"/>
        <v>1088.8000000000002</v>
      </c>
      <c r="Y264" s="234">
        <f t="shared" si="25"/>
        <v>16911.2</v>
      </c>
      <c r="Z264" s="296"/>
      <c r="AA264" s="298">
        <v>44743</v>
      </c>
      <c r="AB264" s="235"/>
      <c r="AC264" s="264"/>
    </row>
    <row r="265" spans="1:29" s="236" customFormat="1" x14ac:dyDescent="0.25">
      <c r="A265" s="232"/>
      <c r="B265" s="302">
        <v>259</v>
      </c>
      <c r="C265" s="295" t="s">
        <v>1494</v>
      </c>
      <c r="D265" s="232" t="s">
        <v>1495</v>
      </c>
      <c r="E265" s="232" t="s">
        <v>85</v>
      </c>
      <c r="F265" s="232" t="s">
        <v>87</v>
      </c>
      <c r="G265" s="295">
        <v>5</v>
      </c>
      <c r="H265" s="296" t="s">
        <v>1383</v>
      </c>
      <c r="I265" s="297" t="s">
        <v>1062</v>
      </c>
      <c r="J265" s="232" t="s">
        <v>1496</v>
      </c>
      <c r="K265" s="233">
        <v>60000</v>
      </c>
      <c r="L265" s="284">
        <f>IF(K265&gt;=Datos!$D$14,(Datos!$D$14*Datos!$C$14),IF(K265&lt;=Datos!$D$14,(K265*Datos!$C$14)))</f>
        <v>1722</v>
      </c>
      <c r="M265" s="284">
        <f>IF(K265&gt;=Datos!$D$15,(Datos!$D$15*Datos!$C$15),IF(K265&lt;=Datos!$D$15,(K265*Datos!$C$15)))</f>
        <v>1824</v>
      </c>
      <c r="N265" s="231"/>
      <c r="O265" s="231">
        <f t="shared" si="33"/>
        <v>56454</v>
      </c>
      <c r="P265" s="223">
        <f>IF(O265&lt;=Datos!$G$7,"0",IF(O265&lt;=Datos!$G$8,(O265-Datos!$F$8)*Datos!$I$6,IF(O265&lt;=Datos!$G$9,Datos!$I$8+(O265-Datos!$F$9)*Datos!$J$6,IF(O265&gt;=Datos!$F$10,(Datos!$I$8+Datos!$J$8)+(O265-Datos!$F$10)*Datos!$K$6))))-W265</f>
        <v>3486.6756666666661</v>
      </c>
      <c r="Q265" s="231">
        <f>IFERROR(VLOOKUP(C265,[1]Hoja1!$D$5:$E$58,2,FALSE),0)</f>
        <v>0</v>
      </c>
      <c r="R265" s="234"/>
      <c r="S265" s="234"/>
      <c r="T265" s="234"/>
      <c r="U265" s="234"/>
      <c r="V265" s="234">
        <v>25</v>
      </c>
      <c r="W265" s="231"/>
      <c r="X265" s="234">
        <f t="shared" si="29"/>
        <v>7057.6756666666661</v>
      </c>
      <c r="Y265" s="234">
        <f t="shared" si="25"/>
        <v>52942.324333333338</v>
      </c>
      <c r="Z265" s="296">
        <v>9606795765</v>
      </c>
      <c r="AA265" s="298">
        <v>45352</v>
      </c>
      <c r="AB265" s="235"/>
      <c r="AC265" s="264"/>
    </row>
    <row r="266" spans="1:29" s="236" customFormat="1" x14ac:dyDescent="0.25">
      <c r="A266" s="232"/>
      <c r="B266" s="302">
        <v>260</v>
      </c>
      <c r="C266" s="295" t="s">
        <v>1735</v>
      </c>
      <c r="D266" s="232" t="s">
        <v>1736</v>
      </c>
      <c r="E266" s="232" t="s">
        <v>85</v>
      </c>
      <c r="F266" s="232" t="s">
        <v>87</v>
      </c>
      <c r="G266" s="295">
        <v>1</v>
      </c>
      <c r="H266" s="296" t="s">
        <v>1548</v>
      </c>
      <c r="I266" s="297" t="s">
        <v>1067</v>
      </c>
      <c r="J266" s="232" t="s">
        <v>833</v>
      </c>
      <c r="K266" s="233">
        <v>17500</v>
      </c>
      <c r="L266" s="284">
        <f>IF(K266&gt;=Datos!$D$14,(Datos!$D$14*Datos!$C$14),IF(K266&lt;=Datos!$D$14,(K266*Datos!$C$14)))</f>
        <v>502.25</v>
      </c>
      <c r="M266" s="284">
        <f>IF(K266&gt;=Datos!$D$15,(Datos!$D$15*Datos!$C$15),IF(K266&lt;=Datos!$D$15,(K266*Datos!$C$15)))</f>
        <v>532</v>
      </c>
      <c r="N266" s="231"/>
      <c r="O266" s="231">
        <f t="shared" si="33"/>
        <v>16465.75</v>
      </c>
      <c r="P266" s="223">
        <f>IF(O266&lt;=Datos!$G$7,"0",IF(O266&lt;=Datos!$G$8,(O266-Datos!$F$8)*Datos!$I$6,IF(O266&lt;=Datos!$G$9,Datos!$I$8+(O266-Datos!$F$9)*Datos!$J$6,IF(O266&gt;=Datos!$F$10,(Datos!$I$8+Datos!$J$8)+(O266-Datos!$F$10)*Datos!$K$6))))-W266</f>
        <v>0</v>
      </c>
      <c r="Q266" s="231">
        <f>IFERROR(VLOOKUP(C266,[1]Hoja1!$D$5:$E$58,2,FALSE),0)</f>
        <v>0</v>
      </c>
      <c r="R266" s="234"/>
      <c r="S266" s="234"/>
      <c r="T266" s="234"/>
      <c r="U266" s="234"/>
      <c r="V266" s="234">
        <v>25</v>
      </c>
      <c r="W266" s="231"/>
      <c r="X266" s="234">
        <f t="shared" si="29"/>
        <v>1059.25</v>
      </c>
      <c r="Y266" s="234">
        <f t="shared" si="25"/>
        <v>16440.75</v>
      </c>
      <c r="Z266" s="296">
        <v>9607572586</v>
      </c>
      <c r="AA266" s="298">
        <v>45566</v>
      </c>
      <c r="AB266" s="235"/>
      <c r="AC266" s="264"/>
    </row>
    <row r="267" spans="1:29" s="236" customFormat="1" x14ac:dyDescent="0.25">
      <c r="A267" s="232"/>
      <c r="B267" s="302">
        <v>261</v>
      </c>
      <c r="C267" s="295" t="s">
        <v>479</v>
      </c>
      <c r="D267" s="232" t="s">
        <v>720</v>
      </c>
      <c r="E267" s="232" t="s">
        <v>85</v>
      </c>
      <c r="F267" s="232" t="s">
        <v>87</v>
      </c>
      <c r="G267" s="295">
        <v>1</v>
      </c>
      <c r="H267" s="296" t="s">
        <v>1502</v>
      </c>
      <c r="I267" s="297" t="s">
        <v>1060</v>
      </c>
      <c r="J267" s="232" t="s">
        <v>945</v>
      </c>
      <c r="K267" s="233">
        <f>48510+16490</f>
        <v>65000</v>
      </c>
      <c r="L267" s="284">
        <f>IF(K267&gt;=Datos!$D$14,(Datos!$D$14*Datos!$C$14),IF(K267&lt;=Datos!$D$14,(K267*Datos!$C$14)))</f>
        <v>1865.5</v>
      </c>
      <c r="M267" s="284">
        <f>IF(K267&gt;=Datos!$D$15,(Datos!$D$15*Datos!$C$15),IF(K267&lt;=Datos!$D$15,(K267*Datos!$C$15)))</f>
        <v>1976</v>
      </c>
      <c r="N267" s="231"/>
      <c r="O267" s="231">
        <f t="shared" si="33"/>
        <v>61158.5</v>
      </c>
      <c r="P267" s="223">
        <f>IF(O267&lt;=Datos!$G$7,"0",IF(O267&lt;=Datos!$G$8,(O267-Datos!$F$8)*Datos!$I$6,IF(O267&lt;=Datos!$G$9,Datos!$I$8+(O267-Datos!$F$9)*Datos!$J$6,IF(O267&gt;=Datos!$F$10,(Datos!$I$8+Datos!$J$8)+(O267-Datos!$F$10)*Datos!$K$6))))-W267</f>
        <v>4427.5756666666657</v>
      </c>
      <c r="Q267" s="231">
        <f>IFERROR(VLOOKUP(C267,[1]Hoja1!$D$5:$E$58,2,FALSE),0)</f>
        <v>0</v>
      </c>
      <c r="R267" s="234"/>
      <c r="S267" s="234"/>
      <c r="T267" s="234"/>
      <c r="U267" s="234"/>
      <c r="V267" s="234">
        <v>25</v>
      </c>
      <c r="W267" s="231"/>
      <c r="X267" s="234">
        <f t="shared" si="29"/>
        <v>8294.0756666666657</v>
      </c>
      <c r="Y267" s="234">
        <f t="shared" si="25"/>
        <v>56705.924333333336</v>
      </c>
      <c r="Z267" s="296" t="s">
        <v>241</v>
      </c>
      <c r="AA267" s="298">
        <v>44197</v>
      </c>
      <c r="AB267" s="235"/>
      <c r="AC267" s="264"/>
    </row>
    <row r="268" spans="1:29" s="236" customFormat="1" x14ac:dyDescent="0.25">
      <c r="A268" s="232"/>
      <c r="B268" s="302">
        <v>262</v>
      </c>
      <c r="C268" s="295" t="s">
        <v>873</v>
      </c>
      <c r="D268" s="232" t="s">
        <v>872</v>
      </c>
      <c r="E268" s="232" t="s">
        <v>85</v>
      </c>
      <c r="F268" s="232" t="s">
        <v>87</v>
      </c>
      <c r="G268" s="295">
        <v>6</v>
      </c>
      <c r="H268" s="296" t="s">
        <v>1216</v>
      </c>
      <c r="I268" s="297" t="s">
        <v>1062</v>
      </c>
      <c r="J268" s="232" t="s">
        <v>972</v>
      </c>
      <c r="K268" s="233">
        <f>18000+7000+10000</f>
        <v>35000</v>
      </c>
      <c r="L268" s="284">
        <f>IF(K268&gt;=Datos!$D$14,(Datos!$D$14*Datos!$C$14),IF(K268&lt;=Datos!$D$14,(K268*Datos!$C$14)))</f>
        <v>1004.5</v>
      </c>
      <c r="M268" s="284">
        <f>IF(K268&gt;=Datos!$D$15,(Datos!$D$15*Datos!$C$15),IF(K268&lt;=Datos!$D$15,(K268*Datos!$C$15)))</f>
        <v>1064</v>
      </c>
      <c r="N268" s="231"/>
      <c r="O268" s="231">
        <f t="shared" si="33"/>
        <v>32931.5</v>
      </c>
      <c r="P268" s="223">
        <f>IF(O268&lt;=Datos!$G$7,"0",IF(O268&lt;=Datos!$G$8,(O268-Datos!$F$8)*Datos!$I$6,IF(O268&lt;=Datos!$G$9,Datos!$I$8+(O268-Datos!$F$9)*Datos!$J$6,IF(O268&gt;=Datos!$F$10,(Datos!$I$8+Datos!$J$8)+(O268-Datos!$F$10)*Datos!$K$6))))-W268</f>
        <v>0</v>
      </c>
      <c r="Q268" s="231">
        <f>IFERROR(VLOOKUP(C268,[1]Hoja1!$D$5:$E$58,2,FALSE),0)</f>
        <v>0</v>
      </c>
      <c r="R268" s="234"/>
      <c r="S268" s="234"/>
      <c r="T268" s="234"/>
      <c r="U268" s="234"/>
      <c r="V268" s="234">
        <v>25</v>
      </c>
      <c r="W268" s="231"/>
      <c r="X268" s="234">
        <f t="shared" si="29"/>
        <v>2093.5</v>
      </c>
      <c r="Y268" s="234">
        <f t="shared" si="25"/>
        <v>32906.5</v>
      </c>
      <c r="Z268" s="296" t="s">
        <v>884</v>
      </c>
      <c r="AA268" s="298">
        <v>44544</v>
      </c>
      <c r="AB268" s="235"/>
      <c r="AC268" s="264"/>
    </row>
    <row r="269" spans="1:29" s="236" customFormat="1" x14ac:dyDescent="0.25">
      <c r="A269" s="232"/>
      <c r="B269" s="302">
        <v>263</v>
      </c>
      <c r="C269" s="295" t="s">
        <v>1333</v>
      </c>
      <c r="D269" s="232" t="s">
        <v>1334</v>
      </c>
      <c r="E269" s="232" t="s">
        <v>85</v>
      </c>
      <c r="F269" s="232" t="s">
        <v>87</v>
      </c>
      <c r="G269" s="295">
        <v>5</v>
      </c>
      <c r="H269" s="296" t="s">
        <v>1210</v>
      </c>
      <c r="I269" s="297" t="s">
        <v>1067</v>
      </c>
      <c r="J269" s="232" t="s">
        <v>1335</v>
      </c>
      <c r="K269" s="233">
        <v>35000</v>
      </c>
      <c r="L269" s="284">
        <f>IF(K269&gt;=Datos!$D$14,(Datos!$D$14*Datos!$C$14),IF(K269&lt;=Datos!$D$14,(K269*Datos!$C$14)))</f>
        <v>1004.5</v>
      </c>
      <c r="M269" s="284">
        <f>IF(K269&gt;=Datos!$D$15,(Datos!$D$15*Datos!$C$15),IF(K269&lt;=Datos!$D$15,(K269*Datos!$C$15)))</f>
        <v>1064</v>
      </c>
      <c r="N269" s="231"/>
      <c r="O269" s="231">
        <f t="shared" si="33"/>
        <v>32931.5</v>
      </c>
      <c r="P269" s="223">
        <f>IF(O269&lt;=Datos!$G$7,"0",IF(O269&lt;=Datos!$G$8,(O269-Datos!$F$8)*Datos!$I$6,IF(O269&lt;=Datos!$G$9,Datos!$I$8+(O269-Datos!$F$9)*Datos!$J$6,IF(O269&gt;=Datos!$F$10,(Datos!$I$8+Datos!$J$8)+(O269-Datos!$F$10)*Datos!$K$6))))-W269</f>
        <v>0</v>
      </c>
      <c r="Q269" s="231">
        <f>IFERROR(VLOOKUP(C269,[1]Hoja1!$D$5:$E$58,2,FALSE),0)</f>
        <v>0</v>
      </c>
      <c r="R269" s="234"/>
      <c r="S269" s="234"/>
      <c r="T269" s="234"/>
      <c r="U269" s="234"/>
      <c r="V269" s="234">
        <v>25</v>
      </c>
      <c r="W269" s="231"/>
      <c r="X269" s="234">
        <f t="shared" si="29"/>
        <v>2093.5</v>
      </c>
      <c r="Y269" s="234">
        <f t="shared" si="25"/>
        <v>32906.5</v>
      </c>
      <c r="Z269" s="296" t="s">
        <v>242</v>
      </c>
      <c r="AA269" s="298">
        <v>45139</v>
      </c>
      <c r="AB269" s="235"/>
      <c r="AC269" s="264"/>
    </row>
    <row r="270" spans="1:29" s="236" customFormat="1" x14ac:dyDescent="0.25">
      <c r="A270" s="232"/>
      <c r="B270" s="302">
        <v>264</v>
      </c>
      <c r="C270" s="295" t="s">
        <v>481</v>
      </c>
      <c r="D270" s="232" t="s">
        <v>722</v>
      </c>
      <c r="E270" s="232" t="s">
        <v>85</v>
      </c>
      <c r="F270" s="232" t="s">
        <v>87</v>
      </c>
      <c r="G270" s="295">
        <v>5</v>
      </c>
      <c r="H270" s="296" t="s">
        <v>1210</v>
      </c>
      <c r="I270" s="297" t="s">
        <v>1060</v>
      </c>
      <c r="J270" s="232" t="s">
        <v>1657</v>
      </c>
      <c r="K270" s="233">
        <v>90000</v>
      </c>
      <c r="L270" s="284">
        <f>IF(K270&gt;=Datos!$D$14,(Datos!$D$14*Datos!$C$14),IF(K270&lt;=Datos!$D$14,(K270*Datos!$C$14)))</f>
        <v>2583</v>
      </c>
      <c r="M270" s="284">
        <f>IF(K270&gt;=Datos!$D$15,(Datos!$D$15*Datos!$C$15),IF(K270&lt;=Datos!$D$15,(K270*Datos!$C$15)))</f>
        <v>2736</v>
      </c>
      <c r="N270" s="231"/>
      <c r="O270" s="231">
        <f t="shared" si="33"/>
        <v>84681</v>
      </c>
      <c r="P270" s="223">
        <f>IF(O270&lt;=Datos!$G$7,"0",IF(O270&lt;=Datos!$G$8,(O270-Datos!$F$8)*Datos!$I$6,IF(O270&lt;=Datos!$G$9,Datos!$I$8+(O270-Datos!$F$9)*Datos!$J$6,IF(O270&gt;=Datos!$F$10,(Datos!$I$8+Datos!$J$8)+(O270-Datos!$F$10)*Datos!$K$6))))-W270</f>
        <v>9753.1106666666674</v>
      </c>
      <c r="Q270" s="231">
        <f>IFERROR(VLOOKUP(C270,[1]Hoja1!$D$5:$E$58,2,FALSE),0)</f>
        <v>0</v>
      </c>
      <c r="R270" s="234"/>
      <c r="S270" s="234"/>
      <c r="T270" s="234"/>
      <c r="U270" s="234"/>
      <c r="V270" s="234">
        <v>25</v>
      </c>
      <c r="W270" s="231"/>
      <c r="X270" s="234">
        <f t="shared" si="29"/>
        <v>15097.110666666667</v>
      </c>
      <c r="Y270" s="234">
        <f t="shared" si="25"/>
        <v>74902.889333333325</v>
      </c>
      <c r="Z270" s="296" t="s">
        <v>243</v>
      </c>
      <c r="AA270" s="298">
        <v>44197</v>
      </c>
      <c r="AB270" s="235"/>
      <c r="AC270" s="264"/>
    </row>
    <row r="271" spans="1:29" s="236" customFormat="1" x14ac:dyDescent="0.25">
      <c r="A271" s="232"/>
      <c r="B271" s="302">
        <v>265</v>
      </c>
      <c r="C271" s="295" t="s">
        <v>482</v>
      </c>
      <c r="D271" s="232" t="s">
        <v>723</v>
      </c>
      <c r="E271" s="232" t="s">
        <v>85</v>
      </c>
      <c r="F271" s="232" t="s">
        <v>87</v>
      </c>
      <c r="G271" s="295">
        <v>5</v>
      </c>
      <c r="H271" s="296" t="s">
        <v>1210</v>
      </c>
      <c r="I271" s="297" t="s">
        <v>1060</v>
      </c>
      <c r="J271" s="232" t="s">
        <v>850</v>
      </c>
      <c r="K271" s="233">
        <f>29400+5600</f>
        <v>35000</v>
      </c>
      <c r="L271" s="284">
        <f>IF(K271&gt;=Datos!$D$14,(Datos!$D$14*Datos!$C$14),IF(K271&lt;=Datos!$D$14,(K271*Datos!$C$14)))</f>
        <v>1004.5</v>
      </c>
      <c r="M271" s="284">
        <f>IF(K271&gt;=Datos!$D$15,(Datos!$D$15*Datos!$C$15),IF(K271&lt;=Datos!$D$15,(K271*Datos!$C$15)))</f>
        <v>1064</v>
      </c>
      <c r="N271" s="231"/>
      <c r="O271" s="231">
        <f t="shared" si="33"/>
        <v>32931.5</v>
      </c>
      <c r="P271" s="223">
        <f>IF(O271&lt;=Datos!$G$7,"0",IF(O271&lt;=Datos!$G$8,(O271-Datos!$F$8)*Datos!$I$6,IF(O271&lt;=Datos!$G$9,Datos!$I$8+(O271-Datos!$F$9)*Datos!$J$6,IF(O271&gt;=Datos!$F$10,(Datos!$I$8+Datos!$J$8)+(O271-Datos!$F$10)*Datos!$K$6))))-W271</f>
        <v>0</v>
      </c>
      <c r="Q271" s="231">
        <f>IFERROR(VLOOKUP(C271,[1]Hoja1!$D$5:$E$58,2,FALSE),0)</f>
        <v>0</v>
      </c>
      <c r="R271" s="234"/>
      <c r="S271" s="234"/>
      <c r="T271" s="234"/>
      <c r="U271" s="234"/>
      <c r="V271" s="234">
        <v>25</v>
      </c>
      <c r="W271" s="231"/>
      <c r="X271" s="234">
        <f t="shared" si="29"/>
        <v>2093.5</v>
      </c>
      <c r="Y271" s="234">
        <f t="shared" si="25"/>
        <v>32906.5</v>
      </c>
      <c r="Z271" s="296" t="s">
        <v>244</v>
      </c>
      <c r="AA271" s="298">
        <v>44228</v>
      </c>
      <c r="AB271" s="235"/>
      <c r="AC271" s="264"/>
    </row>
    <row r="272" spans="1:29" s="236" customFormat="1" x14ac:dyDescent="0.25">
      <c r="A272" s="232"/>
      <c r="B272" s="302">
        <v>266</v>
      </c>
      <c r="C272" s="295" t="s">
        <v>483</v>
      </c>
      <c r="D272" s="232" t="s">
        <v>724</v>
      </c>
      <c r="E272" s="232" t="s">
        <v>85</v>
      </c>
      <c r="F272" s="232" t="s">
        <v>87</v>
      </c>
      <c r="G272" s="295">
        <v>1</v>
      </c>
      <c r="H272" s="296" t="s">
        <v>1548</v>
      </c>
      <c r="I272" s="297" t="s">
        <v>1060</v>
      </c>
      <c r="J272" s="232" t="s">
        <v>833</v>
      </c>
      <c r="K272" s="233">
        <f>12000+6000</f>
        <v>18000</v>
      </c>
      <c r="L272" s="284">
        <f>IF(K272&gt;=Datos!$D$14,(Datos!$D$14*Datos!$C$14),IF(K272&lt;=Datos!$D$14,(K272*Datos!$C$14)))</f>
        <v>516.6</v>
      </c>
      <c r="M272" s="284">
        <f>IF(K272&gt;=Datos!$D$15,(Datos!$D$15*Datos!$C$15),IF(K272&lt;=Datos!$D$15,(K272*Datos!$C$15)))</f>
        <v>547.20000000000005</v>
      </c>
      <c r="N272" s="231"/>
      <c r="O272" s="231">
        <f t="shared" si="33"/>
        <v>16936.2</v>
      </c>
      <c r="P272" s="223">
        <f>IF(O272&lt;=Datos!$G$7,"0",IF(O272&lt;=Datos!$G$8,(O272-Datos!$F$8)*Datos!$I$6,IF(O272&lt;=Datos!$G$9,Datos!$I$8+(O272-Datos!$F$9)*Datos!$J$6,IF(O272&gt;=Datos!$F$10,(Datos!$I$8+Datos!$J$8)+(O272-Datos!$F$10)*Datos!$K$6))))-W272</f>
        <v>0</v>
      </c>
      <c r="Q272" s="231">
        <v>2000</v>
      </c>
      <c r="R272" s="234"/>
      <c r="S272" s="234"/>
      <c r="T272" s="234"/>
      <c r="U272" s="234"/>
      <c r="V272" s="234">
        <v>25</v>
      </c>
      <c r="W272" s="231"/>
      <c r="X272" s="234">
        <f t="shared" si="29"/>
        <v>3088.8</v>
      </c>
      <c r="Y272" s="234">
        <f t="shared" si="25"/>
        <v>14911.2</v>
      </c>
      <c r="Z272" s="296" t="s">
        <v>245</v>
      </c>
      <c r="AA272" s="298">
        <v>44197</v>
      </c>
      <c r="AB272" s="235"/>
      <c r="AC272" s="264"/>
    </row>
    <row r="273" spans="1:29" s="236" customFormat="1" x14ac:dyDescent="0.25">
      <c r="A273" s="232"/>
      <c r="B273" s="302">
        <v>267</v>
      </c>
      <c r="C273" s="295" t="s">
        <v>484</v>
      </c>
      <c r="D273" s="232" t="s">
        <v>725</v>
      </c>
      <c r="E273" s="232" t="s">
        <v>86</v>
      </c>
      <c r="F273" s="232" t="s">
        <v>87</v>
      </c>
      <c r="G273" s="295">
        <v>1</v>
      </c>
      <c r="H273" s="296" t="s">
        <v>1828</v>
      </c>
      <c r="I273" s="297" t="s">
        <v>1062</v>
      </c>
      <c r="J273" s="232" t="s">
        <v>844</v>
      </c>
      <c r="K273" s="233">
        <f>17325+2675+2500</f>
        <v>22500</v>
      </c>
      <c r="L273" s="284">
        <f>IF(K273&gt;=Datos!$D$14,(Datos!$D$14*Datos!$C$14),IF(K273&lt;=Datos!$D$14,(K273*Datos!$C$14)))</f>
        <v>645.75</v>
      </c>
      <c r="M273" s="284">
        <f>IF(K273&gt;=Datos!$D$15,(Datos!$D$15*Datos!$C$15),IF(K273&lt;=Datos!$D$15,(K273*Datos!$C$15)))</f>
        <v>684</v>
      </c>
      <c r="N273" s="231"/>
      <c r="O273" s="231">
        <f t="shared" si="33"/>
        <v>21170.25</v>
      </c>
      <c r="P273" s="223">
        <f>IF(O273&lt;=Datos!$G$7,"0",IF(O273&lt;=Datos!$G$8,(O273-Datos!$F$8)*Datos!$I$6,IF(O273&lt;=Datos!$G$9,Datos!$I$8+(O273-Datos!$F$9)*Datos!$J$6,IF(O273&gt;=Datos!$F$10,(Datos!$I$8+Datos!$J$8)+(O273-Datos!$F$10)*Datos!$K$6))))-W273</f>
        <v>0</v>
      </c>
      <c r="Q273" s="231">
        <f>IFERROR(VLOOKUP(C273,[1]Hoja1!$D$5:$E$58,2,FALSE),0)</f>
        <v>0</v>
      </c>
      <c r="R273" s="234"/>
      <c r="S273" s="234"/>
      <c r="T273" s="234"/>
      <c r="U273" s="234"/>
      <c r="V273" s="234">
        <v>25</v>
      </c>
      <c r="W273" s="231"/>
      <c r="X273" s="234">
        <f t="shared" si="29"/>
        <v>1354.75</v>
      </c>
      <c r="Y273" s="234">
        <f t="shared" si="25"/>
        <v>21145.25</v>
      </c>
      <c r="Z273" s="296" t="s">
        <v>246</v>
      </c>
      <c r="AA273" s="298">
        <v>44197</v>
      </c>
      <c r="AB273" s="235"/>
      <c r="AC273" s="264"/>
    </row>
    <row r="274" spans="1:29" s="236" customFormat="1" x14ac:dyDescent="0.25">
      <c r="A274" s="232"/>
      <c r="B274" s="302">
        <v>268</v>
      </c>
      <c r="C274" s="295" t="s">
        <v>485</v>
      </c>
      <c r="D274" s="232" t="s">
        <v>1931</v>
      </c>
      <c r="E274" s="232" t="s">
        <v>86</v>
      </c>
      <c r="F274" s="232" t="s">
        <v>87</v>
      </c>
      <c r="G274" s="295">
        <v>1</v>
      </c>
      <c r="H274" s="296" t="s">
        <v>1828</v>
      </c>
      <c r="I274" s="297" t="s">
        <v>1062</v>
      </c>
      <c r="J274" s="232" t="s">
        <v>1274</v>
      </c>
      <c r="K274" s="233">
        <v>40000</v>
      </c>
      <c r="L274" s="284">
        <f>IF(K274&gt;=Datos!$D$14,(Datos!$D$14*Datos!$C$14),IF(K274&lt;=Datos!$D$14,(K274*Datos!$C$14)))</f>
        <v>1148</v>
      </c>
      <c r="M274" s="284">
        <f>IF(K274&gt;=Datos!$D$15,(Datos!$D$15*Datos!$C$15),IF(K274&lt;=Datos!$D$15,(K274*Datos!$C$15)))</f>
        <v>1216</v>
      </c>
      <c r="N274" s="231"/>
      <c r="O274" s="231">
        <f t="shared" si="33"/>
        <v>37636</v>
      </c>
      <c r="P274" s="223">
        <f>IF(O274&lt;=Datos!$G$7,"0",IF(O274&lt;=Datos!$G$8,(O274-Datos!$F$8)*Datos!$I$6,IF(O274&lt;=Datos!$G$9,Datos!$I$8+(O274-Datos!$F$9)*Datos!$J$6,IF(O274&gt;=Datos!$F$10,(Datos!$I$8+Datos!$J$8)+(O274-Datos!$F$10)*Datos!$K$6))))-W274</f>
        <v>442.64849999999967</v>
      </c>
      <c r="Q274" s="231">
        <f>IFERROR(VLOOKUP(C274,[1]Hoja1!$D$5:$E$58,2,FALSE),0)</f>
        <v>0</v>
      </c>
      <c r="R274" s="234"/>
      <c r="S274" s="234"/>
      <c r="T274" s="234"/>
      <c r="U274" s="234"/>
      <c r="V274" s="234">
        <v>25</v>
      </c>
      <c r="W274" s="231"/>
      <c r="X274" s="234">
        <f t="shared" si="29"/>
        <v>2831.6484999999998</v>
      </c>
      <c r="Y274" s="234">
        <f t="shared" si="25"/>
        <v>37168.351499999997</v>
      </c>
      <c r="Z274" s="296" t="s">
        <v>247</v>
      </c>
      <c r="AA274" s="298">
        <v>44197</v>
      </c>
      <c r="AB274" s="235"/>
      <c r="AC274" s="264"/>
    </row>
    <row r="275" spans="1:29" s="236" customFormat="1" x14ac:dyDescent="0.25">
      <c r="A275" s="232"/>
      <c r="B275" s="302">
        <v>269</v>
      </c>
      <c r="C275" s="295" t="s">
        <v>1573</v>
      </c>
      <c r="D275" s="232" t="s">
        <v>1574</v>
      </c>
      <c r="E275" s="232" t="s">
        <v>85</v>
      </c>
      <c r="F275" s="232" t="s">
        <v>87</v>
      </c>
      <c r="G275" s="295">
        <v>1</v>
      </c>
      <c r="H275" s="296" t="s">
        <v>1575</v>
      </c>
      <c r="I275" s="297" t="s">
        <v>1187</v>
      </c>
      <c r="J275" s="232" t="s">
        <v>1576</v>
      </c>
      <c r="K275" s="233">
        <v>75000</v>
      </c>
      <c r="L275" s="284">
        <f>IF(K275&gt;=Datos!$D$14,(Datos!$D$14*Datos!$C$14),IF(K275&lt;=Datos!$D$14,(K275*Datos!$C$14)))</f>
        <v>2152.5</v>
      </c>
      <c r="M275" s="284">
        <f>IF(K275&gt;=Datos!$D$15,(Datos!$D$15*Datos!$C$15),IF(K275&lt;=Datos!$D$15,(K275*Datos!$C$15)))</f>
        <v>2280</v>
      </c>
      <c r="N275" s="231"/>
      <c r="O275" s="231">
        <f t="shared" si="33"/>
        <v>70567.5</v>
      </c>
      <c r="P275" s="223">
        <f>IF(O275&lt;=Datos!$G$7,"0",IF(O275&lt;=Datos!$G$8,(O275-Datos!$F$8)*Datos!$I$6,IF(O275&lt;=Datos!$G$9,Datos!$I$8+(O275-Datos!$F$9)*Datos!$J$6,IF(O275&gt;=Datos!$F$10,(Datos!$I$8+Datos!$J$8)+(O275-Datos!$F$10)*Datos!$K$6))))-W275</f>
        <v>6309.3756666666668</v>
      </c>
      <c r="Q275" s="231">
        <f>IFERROR(VLOOKUP(C275,[1]Hoja1!$D$5:$E$58,2,FALSE),0)</f>
        <v>0</v>
      </c>
      <c r="R275" s="234"/>
      <c r="S275" s="234"/>
      <c r="T275" s="234"/>
      <c r="U275" s="234"/>
      <c r="V275" s="234">
        <v>25</v>
      </c>
      <c r="W275" s="231"/>
      <c r="X275" s="234">
        <f t="shared" si="29"/>
        <v>10766.875666666667</v>
      </c>
      <c r="Y275" s="234">
        <f t="shared" si="25"/>
        <v>64233.124333333333</v>
      </c>
      <c r="Z275" s="296">
        <v>9607165363</v>
      </c>
      <c r="AA275" s="298">
        <v>45444</v>
      </c>
      <c r="AB275" s="235"/>
      <c r="AC275" s="264"/>
    </row>
    <row r="276" spans="1:29" s="236" customFormat="1" x14ac:dyDescent="0.25">
      <c r="A276" s="232"/>
      <c r="B276" s="302">
        <v>270</v>
      </c>
      <c r="C276" s="295" t="s">
        <v>486</v>
      </c>
      <c r="D276" s="232" t="s">
        <v>726</v>
      </c>
      <c r="E276" s="232" t="s">
        <v>85</v>
      </c>
      <c r="F276" s="232" t="s">
        <v>87</v>
      </c>
      <c r="G276" s="295">
        <v>1</v>
      </c>
      <c r="H276" s="296" t="s">
        <v>1548</v>
      </c>
      <c r="I276" s="297" t="s">
        <v>1060</v>
      </c>
      <c r="J276" s="232" t="s">
        <v>1023</v>
      </c>
      <c r="K276" s="233">
        <f>13860+6140</f>
        <v>20000</v>
      </c>
      <c r="L276" s="284">
        <f>IF(K276&gt;=Datos!$D$14,(Datos!$D$14*Datos!$C$14),IF(K276&lt;=Datos!$D$14,(K276*Datos!$C$14)))</f>
        <v>574</v>
      </c>
      <c r="M276" s="284">
        <f>IF(K276&gt;=Datos!$D$15,(Datos!$D$15*Datos!$C$15),IF(K276&lt;=Datos!$D$15,(K276*Datos!$C$15)))</f>
        <v>608</v>
      </c>
      <c r="N276" s="231"/>
      <c r="O276" s="231">
        <f t="shared" si="33"/>
        <v>18818</v>
      </c>
      <c r="P276" s="223">
        <f>IF(O276&lt;=Datos!$G$7,"0",IF(O276&lt;=Datos!$G$8,(O276-Datos!$F$8)*Datos!$I$6,IF(O276&lt;=Datos!$G$9,Datos!$I$8+(O276-Datos!$F$9)*Datos!$J$6,IF(O276&gt;=Datos!$F$10,(Datos!$I$8+Datos!$J$8)+(O276-Datos!$F$10)*Datos!$K$6))))-W276</f>
        <v>0</v>
      </c>
      <c r="Q276" s="231">
        <v>1000</v>
      </c>
      <c r="R276" s="234"/>
      <c r="S276" s="234"/>
      <c r="T276" s="234"/>
      <c r="U276" s="234"/>
      <c r="V276" s="234">
        <v>25</v>
      </c>
      <c r="W276" s="231"/>
      <c r="X276" s="234">
        <f t="shared" si="29"/>
        <v>2207</v>
      </c>
      <c r="Y276" s="234">
        <f t="shared" si="25"/>
        <v>17793</v>
      </c>
      <c r="Z276" s="296" t="s">
        <v>248</v>
      </c>
      <c r="AA276" s="298">
        <v>44197</v>
      </c>
      <c r="AB276" s="235"/>
      <c r="AC276" s="264"/>
    </row>
    <row r="277" spans="1:29" s="236" customFormat="1" x14ac:dyDescent="0.25">
      <c r="A277" s="232"/>
      <c r="B277" s="302">
        <v>271</v>
      </c>
      <c r="C277" s="295" t="s">
        <v>1641</v>
      </c>
      <c r="D277" s="232" t="s">
        <v>1642</v>
      </c>
      <c r="E277" s="232" t="s">
        <v>85</v>
      </c>
      <c r="F277" s="232" t="s">
        <v>87</v>
      </c>
      <c r="G277" s="295">
        <v>5</v>
      </c>
      <c r="H277" s="296" t="s">
        <v>1383</v>
      </c>
      <c r="I277" s="297" t="s">
        <v>1060</v>
      </c>
      <c r="J277" s="232" t="s">
        <v>1520</v>
      </c>
      <c r="K277" s="233">
        <v>35000</v>
      </c>
      <c r="L277" s="284">
        <f>IF(K277&gt;=Datos!$D$14,(Datos!$D$14*Datos!$C$14),IF(K277&lt;=Datos!$D$14,(K277*Datos!$C$14)))</f>
        <v>1004.5</v>
      </c>
      <c r="M277" s="284">
        <f>IF(K277&gt;=Datos!$D$15,(Datos!$D$15*Datos!$C$15),IF(K277&lt;=Datos!$D$15,(K277*Datos!$C$15)))</f>
        <v>1064</v>
      </c>
      <c r="N277" s="231"/>
      <c r="O277" s="231">
        <f t="shared" si="33"/>
        <v>32931.5</v>
      </c>
      <c r="P277" s="223">
        <f>IF(O277&lt;=Datos!$G$7,"0",IF(O277&lt;=Datos!$G$8,(O277-Datos!$F$8)*Datos!$I$6,IF(O277&lt;=Datos!$G$9,Datos!$I$8+(O277-Datos!$F$9)*Datos!$J$6,IF(O277&gt;=Datos!$F$10,(Datos!$I$8+Datos!$J$8)+(O277-Datos!$F$10)*Datos!$K$6))))-W277</f>
        <v>0</v>
      </c>
      <c r="Q277" s="231">
        <v>0</v>
      </c>
      <c r="R277" s="234"/>
      <c r="S277" s="234"/>
      <c r="T277" s="234"/>
      <c r="U277" s="234"/>
      <c r="V277" s="234">
        <v>25</v>
      </c>
      <c r="W277" s="231"/>
      <c r="X277" s="234">
        <f t="shared" si="29"/>
        <v>2093.5</v>
      </c>
      <c r="Y277" s="234">
        <f t="shared" si="25"/>
        <v>32906.5</v>
      </c>
      <c r="Z277" s="296">
        <v>9607405813</v>
      </c>
      <c r="AA277" s="298">
        <v>45536</v>
      </c>
      <c r="AB277" s="235"/>
      <c r="AC277" s="264"/>
    </row>
    <row r="278" spans="1:29" s="236" customFormat="1" x14ac:dyDescent="0.25">
      <c r="A278" s="232"/>
      <c r="B278" s="302">
        <v>272</v>
      </c>
      <c r="C278" s="295" t="s">
        <v>1602</v>
      </c>
      <c r="D278" s="296" t="s">
        <v>1393</v>
      </c>
      <c r="E278" s="232" t="s">
        <v>85</v>
      </c>
      <c r="F278" s="232" t="s">
        <v>87</v>
      </c>
      <c r="G278" s="295">
        <v>1</v>
      </c>
      <c r="H278" s="296" t="s">
        <v>1548</v>
      </c>
      <c r="I278" s="297" t="s">
        <v>1062</v>
      </c>
      <c r="J278" s="232" t="s">
        <v>833</v>
      </c>
      <c r="K278" s="233">
        <v>17500</v>
      </c>
      <c r="L278" s="284">
        <f>IF(K278&gt;=Datos!$D$14,(Datos!$D$14*Datos!$C$14),IF(K278&lt;=Datos!$D$14,(K278*Datos!$C$14)))</f>
        <v>502.25</v>
      </c>
      <c r="M278" s="284">
        <f>IF(K278&gt;=Datos!$D$15,(Datos!$D$15*Datos!$C$15),IF(K278&lt;=Datos!$D$15,(K278*Datos!$C$15)))</f>
        <v>532</v>
      </c>
      <c r="N278" s="231"/>
      <c r="O278" s="231">
        <f t="shared" si="33"/>
        <v>16465.75</v>
      </c>
      <c r="P278" s="223">
        <f>IF(O278&lt;=Datos!$G$7,"0",IF(O278&lt;=Datos!$G$8,(O278-Datos!$F$8)*Datos!$I$6,IF(O278&lt;=Datos!$G$9,Datos!$I$8+(O278-Datos!$F$9)*Datos!$J$6,IF(O278&gt;=Datos!$F$10,(Datos!$I$8+Datos!$J$8)+(O278-Datos!$F$10)*Datos!$K$6))))-W278</f>
        <v>0</v>
      </c>
      <c r="Q278" s="231">
        <v>0</v>
      </c>
      <c r="R278" s="234"/>
      <c r="S278" s="234"/>
      <c r="T278" s="234"/>
      <c r="U278" s="234"/>
      <c r="V278" s="234">
        <v>25</v>
      </c>
      <c r="W278" s="231"/>
      <c r="X278" s="234">
        <f t="shared" si="29"/>
        <v>1059.25</v>
      </c>
      <c r="Y278" s="234">
        <f t="shared" si="25"/>
        <v>16440.75</v>
      </c>
      <c r="Z278" s="296">
        <v>9606252890</v>
      </c>
      <c r="AA278" s="298">
        <v>45200</v>
      </c>
      <c r="AB278" s="235"/>
      <c r="AC278" s="264"/>
    </row>
    <row r="279" spans="1:29" s="236" customFormat="1" x14ac:dyDescent="0.25">
      <c r="A279" s="232"/>
      <c r="B279" s="302">
        <v>273</v>
      </c>
      <c r="C279" s="295" t="s">
        <v>1728</v>
      </c>
      <c r="D279" s="296" t="s">
        <v>1729</v>
      </c>
      <c r="E279" s="232" t="s">
        <v>85</v>
      </c>
      <c r="F279" s="232" t="s">
        <v>87</v>
      </c>
      <c r="G279" s="295">
        <v>5</v>
      </c>
      <c r="H279" s="296" t="s">
        <v>1383</v>
      </c>
      <c r="I279" s="297" t="s">
        <v>1060</v>
      </c>
      <c r="J279" s="232" t="s">
        <v>1727</v>
      </c>
      <c r="K279" s="233">
        <v>80000</v>
      </c>
      <c r="L279" s="284">
        <f>IF(K279&gt;=Datos!$D$14,(Datos!$D$14*Datos!$C$14),IF(K279&lt;=Datos!$D$14,(K279*Datos!$C$14)))</f>
        <v>2296</v>
      </c>
      <c r="M279" s="284">
        <f>IF(K279&gt;=Datos!$D$15,(Datos!$D$15*Datos!$C$15),IF(K279&lt;=Datos!$D$15,(K279*Datos!$C$15)))</f>
        <v>2432</v>
      </c>
      <c r="N279" s="231"/>
      <c r="O279" s="231">
        <f t="shared" si="33"/>
        <v>75272</v>
      </c>
      <c r="P279" s="223">
        <f>IF(O279&lt;=Datos!$G$7,"0",IF(O279&lt;=Datos!$G$8,(O279-Datos!$F$8)*Datos!$I$6,IF(O279&lt;=Datos!$G$9,Datos!$I$8+(O279-Datos!$F$9)*Datos!$J$6,IF(O279&gt;=Datos!$F$10,(Datos!$I$8+Datos!$J$8)+(O279-Datos!$F$10)*Datos!$K$6))))-W279</f>
        <v>7400.8606666666674</v>
      </c>
      <c r="Q279" s="231">
        <v>0</v>
      </c>
      <c r="R279" s="234"/>
      <c r="S279" s="234"/>
      <c r="T279" s="234"/>
      <c r="U279" s="234"/>
      <c r="V279" s="234">
        <v>25</v>
      </c>
      <c r="W279" s="231"/>
      <c r="X279" s="234">
        <f t="shared" si="29"/>
        <v>12153.860666666667</v>
      </c>
      <c r="Y279" s="234">
        <f t="shared" si="25"/>
        <v>67846.139333333325</v>
      </c>
      <c r="Z279" s="296">
        <v>9607572579</v>
      </c>
      <c r="AA279" s="298">
        <v>45566</v>
      </c>
      <c r="AB279" s="235"/>
      <c r="AC279" s="264"/>
    </row>
    <row r="280" spans="1:29" s="236" customFormat="1" x14ac:dyDescent="0.25">
      <c r="A280" s="232"/>
      <c r="B280" s="302">
        <v>274</v>
      </c>
      <c r="C280" s="295" t="s">
        <v>1306</v>
      </c>
      <c r="D280" s="232" t="s">
        <v>1305</v>
      </c>
      <c r="E280" s="232" t="s">
        <v>85</v>
      </c>
      <c r="F280" s="232" t="s">
        <v>87</v>
      </c>
      <c r="G280" s="295">
        <v>5</v>
      </c>
      <c r="H280" s="296" t="s">
        <v>1210</v>
      </c>
      <c r="I280" s="297" t="s">
        <v>1062</v>
      </c>
      <c r="J280" s="232" t="s">
        <v>1307</v>
      </c>
      <c r="K280" s="233">
        <v>35000</v>
      </c>
      <c r="L280" s="284">
        <f>IF(K280&gt;=Datos!$D$14,(Datos!$D$14*Datos!$C$14),IF(K280&lt;=Datos!$D$14,(K280*Datos!$C$14)))</f>
        <v>1004.5</v>
      </c>
      <c r="M280" s="284">
        <f>IF(K280&gt;=Datos!$D$15,(Datos!$D$15*Datos!$C$15),IF(K280&lt;=Datos!$D$15,(K280*Datos!$C$15)))</f>
        <v>1064</v>
      </c>
      <c r="N280" s="231"/>
      <c r="O280" s="231">
        <f t="shared" si="33"/>
        <v>32931.5</v>
      </c>
      <c r="P280" s="223">
        <f>IF(O280&lt;=Datos!$G$7,"0",IF(O280&lt;=Datos!$G$8,(O280-Datos!$F$8)*Datos!$I$6,IF(O280&lt;=Datos!$G$9,Datos!$I$8+(O280-Datos!$F$9)*Datos!$J$6,IF(O280&gt;=Datos!$F$10,(Datos!$I$8+Datos!$J$8)+(O280-Datos!$F$10)*Datos!$K$6))))-W280</f>
        <v>0</v>
      </c>
      <c r="Q280" s="231">
        <f>IFERROR(VLOOKUP(C280,[1]Hoja1!$D$5:$E$58,2,FALSE),0)</f>
        <v>0</v>
      </c>
      <c r="R280" s="234"/>
      <c r="S280" s="234"/>
      <c r="T280" s="234"/>
      <c r="U280" s="234"/>
      <c r="V280" s="234">
        <v>25</v>
      </c>
      <c r="W280" s="231"/>
      <c r="X280" s="234">
        <f t="shared" si="29"/>
        <v>2093.5</v>
      </c>
      <c r="Y280" s="234">
        <f t="shared" si="25"/>
        <v>32906.5</v>
      </c>
      <c r="Z280" s="296"/>
      <c r="AA280" s="298">
        <v>45108</v>
      </c>
      <c r="AB280" s="235"/>
      <c r="AC280" s="264"/>
    </row>
    <row r="281" spans="1:29" s="236" customFormat="1" x14ac:dyDescent="0.25">
      <c r="A281" s="232"/>
      <c r="B281" s="302">
        <v>275</v>
      </c>
      <c r="C281" s="295" t="s">
        <v>1779</v>
      </c>
      <c r="D281" s="232" t="s">
        <v>1780</v>
      </c>
      <c r="E281" s="232" t="s">
        <v>85</v>
      </c>
      <c r="F281" s="232" t="s">
        <v>87</v>
      </c>
      <c r="G281" s="295">
        <v>6</v>
      </c>
      <c r="H281" s="296" t="s">
        <v>1216</v>
      </c>
      <c r="I281" s="297" t="s">
        <v>1060</v>
      </c>
      <c r="J281" s="232" t="s">
        <v>1772</v>
      </c>
      <c r="K281" s="233">
        <v>35000</v>
      </c>
      <c r="L281" s="284">
        <f>IF(K281&gt;=Datos!$D$14,(Datos!$D$14*Datos!$C$14),IF(K281&lt;=Datos!$D$14,(K281*Datos!$C$14)))</f>
        <v>1004.5</v>
      </c>
      <c r="M281" s="284">
        <f>IF(K281&gt;=Datos!$D$15,(Datos!$D$15*Datos!$C$15),IF(K281&lt;=Datos!$D$15,(K281*Datos!$C$15)))</f>
        <v>1064</v>
      </c>
      <c r="N281" s="231"/>
      <c r="O281" s="231">
        <f t="shared" si="33"/>
        <v>32931.5</v>
      </c>
      <c r="P281" s="223">
        <f>IF(O281&lt;=Datos!$G$7,"0",IF(O281&lt;=Datos!$G$8,(O281-Datos!$F$8)*Datos!$I$6,IF(O281&lt;=Datos!$G$9,Datos!$I$8+(O281-Datos!$F$9)*Datos!$J$6,IF(O281&gt;=Datos!$F$10,(Datos!$I$8+Datos!$J$8)+(O281-Datos!$F$10)*Datos!$K$6))))-W281</f>
        <v>0</v>
      </c>
      <c r="Q281" s="231">
        <f>IFERROR(VLOOKUP(C281,[1]Hoja1!$D$5:$E$58,2,FALSE),0)</f>
        <v>0</v>
      </c>
      <c r="R281" s="234"/>
      <c r="S281" s="234"/>
      <c r="T281" s="234"/>
      <c r="U281" s="234"/>
      <c r="V281" s="234">
        <v>25</v>
      </c>
      <c r="W281" s="231"/>
      <c r="X281" s="234">
        <f t="shared" si="29"/>
        <v>2093.5</v>
      </c>
      <c r="Y281" s="234">
        <f t="shared" si="25"/>
        <v>32906.5</v>
      </c>
      <c r="Z281" s="296">
        <v>9607660883</v>
      </c>
      <c r="AA281" s="298">
        <v>45597</v>
      </c>
      <c r="AB281" s="235"/>
      <c r="AC281" s="264"/>
    </row>
    <row r="282" spans="1:29" s="236" customFormat="1" x14ac:dyDescent="0.25">
      <c r="A282" s="232"/>
      <c r="B282" s="302">
        <v>276</v>
      </c>
      <c r="C282" s="295" t="s">
        <v>1365</v>
      </c>
      <c r="D282" s="296" t="s">
        <v>1385</v>
      </c>
      <c r="E282" s="232" t="s">
        <v>85</v>
      </c>
      <c r="F282" s="232" t="s">
        <v>87</v>
      </c>
      <c r="G282" s="295">
        <v>1</v>
      </c>
      <c r="H282" s="296" t="s">
        <v>1548</v>
      </c>
      <c r="I282" s="297" t="s">
        <v>1062</v>
      </c>
      <c r="J282" s="232" t="s">
        <v>833</v>
      </c>
      <c r="K282" s="233">
        <v>17500</v>
      </c>
      <c r="L282" s="284">
        <f>IF(K282&gt;=Datos!$D$14,(Datos!$D$14*Datos!$C$14),IF(K282&lt;=Datos!$D$14,(K282*Datos!$C$14)))</f>
        <v>502.25</v>
      </c>
      <c r="M282" s="284">
        <f>IF(K282&gt;=Datos!$D$15,(Datos!$D$15*Datos!$C$15),IF(K282&lt;=Datos!$D$15,(K282*Datos!$C$15)))</f>
        <v>532</v>
      </c>
      <c r="N282" s="231"/>
      <c r="O282" s="231">
        <f t="shared" si="33"/>
        <v>16465.75</v>
      </c>
      <c r="P282" s="223">
        <f>IF(O282&lt;=Datos!$G$7,"0",IF(O282&lt;=Datos!$G$8,(O282-Datos!$F$8)*Datos!$I$6,IF(O282&lt;=Datos!$G$9,Datos!$I$8+(O282-Datos!$F$9)*Datos!$J$6,IF(O282&gt;=Datos!$F$10,(Datos!$I$8+Datos!$J$8)+(O282-Datos!$F$10)*Datos!$K$6))))-W282</f>
        <v>0</v>
      </c>
      <c r="Q282" s="231">
        <f>IFERROR(VLOOKUP(C282,[1]Hoja1!$D$5:$E$58,2,FALSE),0)</f>
        <v>0</v>
      </c>
      <c r="R282" s="234"/>
      <c r="S282" s="234"/>
      <c r="T282" s="234"/>
      <c r="U282" s="234"/>
      <c r="V282" s="234">
        <v>25</v>
      </c>
      <c r="W282" s="231"/>
      <c r="X282" s="234">
        <f t="shared" si="29"/>
        <v>1059.25</v>
      </c>
      <c r="Y282" s="234">
        <f t="shared" si="25"/>
        <v>16440.75</v>
      </c>
      <c r="Z282" s="296">
        <v>9606252873</v>
      </c>
      <c r="AA282" s="298">
        <v>45200</v>
      </c>
      <c r="AB282" s="235"/>
      <c r="AC282" s="264"/>
    </row>
    <row r="283" spans="1:29" s="236" customFormat="1" x14ac:dyDescent="0.25">
      <c r="A283" s="232"/>
      <c r="B283" s="302">
        <v>277</v>
      </c>
      <c r="C283" s="295" t="s">
        <v>487</v>
      </c>
      <c r="D283" s="232" t="s">
        <v>727</v>
      </c>
      <c r="E283" s="232" t="s">
        <v>85</v>
      </c>
      <c r="F283" s="232" t="s">
        <v>87</v>
      </c>
      <c r="G283" s="295">
        <v>1</v>
      </c>
      <c r="H283" s="296" t="s">
        <v>1548</v>
      </c>
      <c r="I283" s="297" t="s">
        <v>1061</v>
      </c>
      <c r="J283" s="232" t="s">
        <v>833</v>
      </c>
      <c r="K283" s="233">
        <f>13200+4800</f>
        <v>18000</v>
      </c>
      <c r="L283" s="284">
        <f>IF(K283&gt;=Datos!$D$14,(Datos!$D$14*Datos!$C$14),IF(K283&lt;=Datos!$D$14,(K283*Datos!$C$14)))</f>
        <v>516.6</v>
      </c>
      <c r="M283" s="284">
        <f>IF(K283&gt;=Datos!$D$15,(Datos!$D$15*Datos!$C$15),IF(K283&lt;=Datos!$D$15,(K283*Datos!$C$15)))</f>
        <v>547.20000000000005</v>
      </c>
      <c r="N283" s="231"/>
      <c r="O283" s="231">
        <f t="shared" si="33"/>
        <v>16936.2</v>
      </c>
      <c r="P283" s="223">
        <f>IF(O283&lt;=Datos!$G$7,"0",IF(O283&lt;=Datos!$G$8,(O283-Datos!$F$8)*Datos!$I$6,IF(O283&lt;=Datos!$G$9,Datos!$I$8+(O283-Datos!$F$9)*Datos!$J$6,IF(O283&gt;=Datos!$F$10,(Datos!$I$8+Datos!$J$8)+(O283-Datos!$F$10)*Datos!$K$6))))-W283</f>
        <v>0</v>
      </c>
      <c r="Q283" s="231">
        <v>3573.42</v>
      </c>
      <c r="R283" s="234"/>
      <c r="S283" s="234"/>
      <c r="T283" s="234"/>
      <c r="U283" s="234"/>
      <c r="V283" s="234">
        <v>25</v>
      </c>
      <c r="W283" s="231"/>
      <c r="X283" s="234">
        <f t="shared" si="29"/>
        <v>4662.22</v>
      </c>
      <c r="Y283" s="234">
        <f t="shared" si="25"/>
        <v>13337.779999999999</v>
      </c>
      <c r="Z283" s="296" t="s">
        <v>249</v>
      </c>
      <c r="AA283" s="298">
        <v>44197</v>
      </c>
      <c r="AB283" s="235"/>
      <c r="AC283" s="264"/>
    </row>
    <row r="284" spans="1:29" s="236" customFormat="1" x14ac:dyDescent="0.25">
      <c r="A284" s="232"/>
      <c r="B284" s="302">
        <v>278</v>
      </c>
      <c r="C284" s="295" t="s">
        <v>488</v>
      </c>
      <c r="D284" s="232" t="s">
        <v>728</v>
      </c>
      <c r="E284" s="232" t="s">
        <v>85</v>
      </c>
      <c r="F284" s="232" t="s">
        <v>87</v>
      </c>
      <c r="G284" s="295">
        <v>5</v>
      </c>
      <c r="H284" s="296" t="s">
        <v>1210</v>
      </c>
      <c r="I284" s="297" t="s">
        <v>1060</v>
      </c>
      <c r="J284" s="232" t="s">
        <v>837</v>
      </c>
      <c r="K284" s="233">
        <f>63063+1937</f>
        <v>65000</v>
      </c>
      <c r="L284" s="284">
        <f>IF(K284&gt;=Datos!$D$14,(Datos!$D$14*Datos!$C$14),IF(K284&lt;=Datos!$D$14,(K284*Datos!$C$14)))</f>
        <v>1865.5</v>
      </c>
      <c r="M284" s="284">
        <f>IF(K284&gt;=Datos!$D$15,(Datos!$D$15*Datos!$C$15),IF(K284&lt;=Datos!$D$15,(K284*Datos!$C$15)))</f>
        <v>1976</v>
      </c>
      <c r="N284" s="231">
        <f>1715.46*3</f>
        <v>5146.38</v>
      </c>
      <c r="O284" s="231">
        <f t="shared" si="33"/>
        <v>56012.119999999995</v>
      </c>
      <c r="P284" s="223">
        <f>IF(O284&lt;=Datos!$G$7,"0",IF(O284&lt;=Datos!$G$8,(O284-Datos!$F$8)*Datos!$I$6,IF(O284&lt;=Datos!$G$9,Datos!$I$8+(O284-Datos!$F$9)*Datos!$J$6,IF(O284&gt;=Datos!$F$10,(Datos!$I$8+Datos!$J$8)+(O284-Datos!$F$10)*Datos!$K$6))))-W284</f>
        <v>3398.2996666666654</v>
      </c>
      <c r="Q284" s="231">
        <f>IFERROR(VLOOKUP(C284,[1]Hoja1!$D$5:$E$58,2,FALSE),0)</f>
        <v>0</v>
      </c>
      <c r="R284" s="234"/>
      <c r="S284" s="234"/>
      <c r="T284" s="234"/>
      <c r="U284" s="234"/>
      <c r="V284" s="234">
        <v>25</v>
      </c>
      <c r="W284" s="231"/>
      <c r="X284" s="234">
        <f t="shared" si="29"/>
        <v>12411.179666666667</v>
      </c>
      <c r="Y284" s="234">
        <f t="shared" si="25"/>
        <v>52588.820333333337</v>
      </c>
      <c r="Z284" s="296" t="s">
        <v>250</v>
      </c>
      <c r="AA284" s="298">
        <v>44197</v>
      </c>
      <c r="AB284" s="235"/>
      <c r="AC284" s="264"/>
    </row>
    <row r="285" spans="1:29" s="236" customFormat="1" x14ac:dyDescent="0.25">
      <c r="A285" s="232"/>
      <c r="B285" s="302">
        <v>279</v>
      </c>
      <c r="C285" s="295" t="s">
        <v>1291</v>
      </c>
      <c r="D285" s="232" t="s">
        <v>1292</v>
      </c>
      <c r="E285" s="232" t="s">
        <v>85</v>
      </c>
      <c r="F285" s="232" t="s">
        <v>87</v>
      </c>
      <c r="G285" s="295">
        <v>1</v>
      </c>
      <c r="H285" s="296" t="s">
        <v>1548</v>
      </c>
      <c r="I285" s="297" t="s">
        <v>1062</v>
      </c>
      <c r="J285" s="232" t="s">
        <v>833</v>
      </c>
      <c r="K285" s="233">
        <v>17500</v>
      </c>
      <c r="L285" s="284">
        <f>IF(K285&gt;=Datos!$D$14,(Datos!$D$14*Datos!$C$14),IF(K285&lt;=Datos!$D$14,(K285*Datos!$C$14)))</f>
        <v>502.25</v>
      </c>
      <c r="M285" s="284">
        <f>IF(K285&gt;=Datos!$D$15,(Datos!$D$15*Datos!$C$15),IF(K285&lt;=Datos!$D$15,(K285*Datos!$C$15)))</f>
        <v>532</v>
      </c>
      <c r="N285" s="231"/>
      <c r="O285" s="231">
        <f t="shared" si="33"/>
        <v>16465.75</v>
      </c>
      <c r="P285" s="223">
        <f>IF(O285&lt;=Datos!$G$7,"0",IF(O285&lt;=Datos!$G$8,(O285-Datos!$F$8)*Datos!$I$6,IF(O285&lt;=Datos!$G$9,Datos!$I$8+(O285-Datos!$F$9)*Datos!$J$6,IF(O285&gt;=Datos!$F$10,(Datos!$I$8+Datos!$J$8)+(O285-Datos!$F$10)*Datos!$K$6))))-W285</f>
        <v>0</v>
      </c>
      <c r="Q285" s="231">
        <f>IFERROR(VLOOKUP(C285,[1]Hoja1!$D$5:$E$58,2,FALSE),0)</f>
        <v>0</v>
      </c>
      <c r="R285" s="234"/>
      <c r="S285" s="234"/>
      <c r="T285" s="234"/>
      <c r="U285" s="234"/>
      <c r="V285" s="234">
        <v>25</v>
      </c>
      <c r="W285" s="231"/>
      <c r="X285" s="234">
        <f t="shared" si="29"/>
        <v>1059.25</v>
      </c>
      <c r="Y285" s="234">
        <f t="shared" si="25"/>
        <v>16440.75</v>
      </c>
      <c r="Z285" s="296">
        <v>9605831733</v>
      </c>
      <c r="AA285" s="298">
        <v>45078</v>
      </c>
      <c r="AB285" s="235"/>
      <c r="AC285" s="264"/>
    </row>
    <row r="286" spans="1:29" s="236" customFormat="1" x14ac:dyDescent="0.25">
      <c r="A286" s="232"/>
      <c r="B286" s="302">
        <v>280</v>
      </c>
      <c r="C286" s="295" t="s">
        <v>489</v>
      </c>
      <c r="D286" s="232" t="s">
        <v>729</v>
      </c>
      <c r="E286" s="232" t="s">
        <v>85</v>
      </c>
      <c r="F286" s="232" t="s">
        <v>87</v>
      </c>
      <c r="G286" s="295">
        <v>1</v>
      </c>
      <c r="H286" s="296" t="s">
        <v>1548</v>
      </c>
      <c r="I286" s="297" t="s">
        <v>1062</v>
      </c>
      <c r="J286" s="232" t="s">
        <v>833</v>
      </c>
      <c r="K286" s="233">
        <f>13860+4140</f>
        <v>18000</v>
      </c>
      <c r="L286" s="284">
        <f>IF(K286&gt;=Datos!$D$14,(Datos!$D$14*Datos!$C$14),IF(K286&lt;=Datos!$D$14,(K286*Datos!$C$14)))</f>
        <v>516.6</v>
      </c>
      <c r="M286" s="284">
        <f>IF(K286&gt;=Datos!$D$15,(Datos!$D$15*Datos!$C$15),IF(K286&lt;=Datos!$D$15,(K286*Datos!$C$15)))</f>
        <v>547.20000000000005</v>
      </c>
      <c r="N286" s="231"/>
      <c r="O286" s="231">
        <f t="shared" si="33"/>
        <v>16936.2</v>
      </c>
      <c r="P286" s="223">
        <f>IF(O286&lt;=Datos!$G$7,"0",IF(O286&lt;=Datos!$G$8,(O286-Datos!$F$8)*Datos!$I$6,IF(O286&lt;=Datos!$G$9,Datos!$I$8+(O286-Datos!$F$9)*Datos!$J$6,IF(O286&gt;=Datos!$F$10,(Datos!$I$8+Datos!$J$8)+(O286-Datos!$F$10)*Datos!$K$6))))-W286</f>
        <v>0</v>
      </c>
      <c r="Q286" s="231">
        <f>IFERROR(VLOOKUP(C286,[1]Hoja1!$D$5:$E$58,2,FALSE),0)</f>
        <v>0</v>
      </c>
      <c r="R286" s="234"/>
      <c r="S286" s="234"/>
      <c r="T286" s="234"/>
      <c r="U286" s="234"/>
      <c r="V286" s="234">
        <v>25</v>
      </c>
      <c r="W286" s="231"/>
      <c r="X286" s="234">
        <f t="shared" si="29"/>
        <v>1088.8000000000002</v>
      </c>
      <c r="Y286" s="234">
        <f t="shared" si="25"/>
        <v>16911.2</v>
      </c>
      <c r="Z286" s="296" t="s">
        <v>251</v>
      </c>
      <c r="AA286" s="298">
        <v>44197</v>
      </c>
      <c r="AB286" s="235"/>
      <c r="AC286" s="264"/>
    </row>
    <row r="287" spans="1:29" s="236" customFormat="1" x14ac:dyDescent="0.25">
      <c r="A287" s="232"/>
      <c r="B287" s="302">
        <v>281</v>
      </c>
      <c r="C287" s="295" t="s">
        <v>1117</v>
      </c>
      <c r="D287" s="232" t="s">
        <v>1118</v>
      </c>
      <c r="E287" s="232" t="s">
        <v>85</v>
      </c>
      <c r="F287" s="232" t="s">
        <v>87</v>
      </c>
      <c r="G287" s="295">
        <v>5</v>
      </c>
      <c r="H287" s="296" t="s">
        <v>1210</v>
      </c>
      <c r="I287" s="297" t="s">
        <v>1062</v>
      </c>
      <c r="J287" s="232" t="s">
        <v>832</v>
      </c>
      <c r="K287" s="233">
        <f>30000+5000</f>
        <v>35000</v>
      </c>
      <c r="L287" s="284">
        <f>IF(K287&gt;=Datos!$D$14,(Datos!$D$14*Datos!$C$14),IF(K287&lt;=Datos!$D$14,(K287*Datos!$C$14)))</f>
        <v>1004.5</v>
      </c>
      <c r="M287" s="284">
        <f>IF(K287&gt;=Datos!$D$15,(Datos!$D$15*Datos!$C$15),IF(K287&lt;=Datos!$D$15,(K287*Datos!$C$15)))</f>
        <v>1064</v>
      </c>
      <c r="N287" s="231"/>
      <c r="O287" s="231">
        <f t="shared" si="33"/>
        <v>32931.5</v>
      </c>
      <c r="P287" s="223">
        <f>IF(O287&lt;=Datos!$G$7,"0",IF(O287&lt;=Datos!$G$8,(O287-Datos!$F$8)*Datos!$I$6,IF(O287&lt;=Datos!$G$9,Datos!$I$8+(O287-Datos!$F$9)*Datos!$J$6,IF(O287&gt;=Datos!$F$10,(Datos!$I$8+Datos!$J$8)+(O287-Datos!$F$10)*Datos!$K$6))))-W287</f>
        <v>0</v>
      </c>
      <c r="Q287" s="231">
        <f>IFERROR(VLOOKUP(C287,[1]Hoja1!$D$5:$E$58,2,FALSE),0)</f>
        <v>0</v>
      </c>
      <c r="R287" s="234"/>
      <c r="S287" s="234"/>
      <c r="T287" s="234"/>
      <c r="U287" s="234"/>
      <c r="V287" s="234">
        <v>25</v>
      </c>
      <c r="W287" s="231"/>
      <c r="X287" s="234">
        <f t="shared" si="29"/>
        <v>2093.5</v>
      </c>
      <c r="Y287" s="234">
        <f t="shared" si="25"/>
        <v>32906.5</v>
      </c>
      <c r="Z287" s="296"/>
      <c r="AA287" s="298">
        <v>44866</v>
      </c>
      <c r="AB287" s="235"/>
      <c r="AC287" s="264"/>
    </row>
    <row r="288" spans="1:29" s="236" customFormat="1" x14ac:dyDescent="0.25">
      <c r="A288" s="232"/>
      <c r="B288" s="302">
        <v>282</v>
      </c>
      <c r="C288" s="295" t="s">
        <v>490</v>
      </c>
      <c r="D288" s="232" t="s">
        <v>730</v>
      </c>
      <c r="E288" s="232" t="s">
        <v>85</v>
      </c>
      <c r="F288" s="232" t="s">
        <v>87</v>
      </c>
      <c r="G288" s="295">
        <v>4</v>
      </c>
      <c r="H288" s="296" t="s">
        <v>1211</v>
      </c>
      <c r="I288" s="297" t="s">
        <v>1061</v>
      </c>
      <c r="J288" s="232" t="s">
        <v>835</v>
      </c>
      <c r="K288" s="233">
        <v>68250</v>
      </c>
      <c r="L288" s="284">
        <f>IF(K288&gt;=Datos!$D$14,(Datos!$D$14*Datos!$C$14),IF(K288&lt;=Datos!$D$14,(K288*Datos!$C$14)))</f>
        <v>1958.7750000000001</v>
      </c>
      <c r="M288" s="284">
        <f>IF(K288&gt;=Datos!$D$15,(Datos!$D$15*Datos!$C$15),IF(K288&lt;=Datos!$D$15,(K288*Datos!$C$15)))</f>
        <v>2074.8000000000002</v>
      </c>
      <c r="N288" s="231"/>
      <c r="O288" s="231">
        <f t="shared" si="33"/>
        <v>64216.425000000003</v>
      </c>
      <c r="P288" s="223">
        <f>IF(O288&lt;=Datos!$G$7,"0",IF(O288&lt;=Datos!$G$8,(O288-Datos!$F$8)*Datos!$I$6,IF(O288&lt;=Datos!$G$9,Datos!$I$8+(O288-Datos!$F$9)*Datos!$J$6,IF(O288&gt;=Datos!$F$10,(Datos!$I$8+Datos!$J$8)+(O288-Datos!$F$10)*Datos!$K$6))))-W288</f>
        <v>5039.1606666666667</v>
      </c>
      <c r="Q288" s="231">
        <f>IFERROR(VLOOKUP(C288,[1]Hoja1!$D$5:$E$58,2,FALSE),0)</f>
        <v>0</v>
      </c>
      <c r="R288" s="234"/>
      <c r="S288" s="234"/>
      <c r="T288" s="234"/>
      <c r="U288" s="234"/>
      <c r="V288" s="234">
        <v>25</v>
      </c>
      <c r="W288" s="231"/>
      <c r="X288" s="234">
        <f t="shared" si="29"/>
        <v>9097.7356666666674</v>
      </c>
      <c r="Y288" s="234">
        <f t="shared" si="25"/>
        <v>59152.264333333333</v>
      </c>
      <c r="Z288" s="296" t="s">
        <v>252</v>
      </c>
      <c r="AA288" s="298">
        <v>39600</v>
      </c>
      <c r="AB288" s="235"/>
      <c r="AC288" s="264"/>
    </row>
    <row r="289" spans="1:29" s="236" customFormat="1" x14ac:dyDescent="0.25">
      <c r="A289" s="232"/>
      <c r="B289" s="302">
        <v>283</v>
      </c>
      <c r="C289" s="295" t="s">
        <v>491</v>
      </c>
      <c r="D289" s="232" t="s">
        <v>731</v>
      </c>
      <c r="E289" s="232" t="s">
        <v>85</v>
      </c>
      <c r="F289" s="232" t="s">
        <v>87</v>
      </c>
      <c r="G289" s="295">
        <v>5</v>
      </c>
      <c r="H289" s="296" t="s">
        <v>1210</v>
      </c>
      <c r="I289" s="297" t="s">
        <v>1060</v>
      </c>
      <c r="J289" s="232" t="s">
        <v>837</v>
      </c>
      <c r="K289" s="233">
        <v>70946.2</v>
      </c>
      <c r="L289" s="284">
        <f>IF(K289&gt;=Datos!$D$14,(Datos!$D$14*Datos!$C$14),IF(K289&lt;=Datos!$D$14,(K289*Datos!$C$14)))</f>
        <v>2036.1559399999999</v>
      </c>
      <c r="M289" s="284">
        <f>IF(K289&gt;=Datos!$D$15,(Datos!$D$15*Datos!$C$15),IF(K289&lt;=Datos!$D$15,(K289*Datos!$C$15)))</f>
        <v>2156.7644799999998</v>
      </c>
      <c r="N289" s="231"/>
      <c r="O289" s="231">
        <f t="shared" si="33"/>
        <v>66753.279580000002</v>
      </c>
      <c r="P289" s="223">
        <f>IF(O289&lt;=Datos!$G$7,"0",IF(O289&lt;=Datos!$G$8,(O289-Datos!$F$8)*Datos!$I$6,IF(O289&lt;=Datos!$G$9,Datos!$I$8+(O289-Datos!$F$9)*Datos!$J$6,IF(O289&gt;=Datos!$F$10,(Datos!$I$8+Datos!$J$8)+(O289-Datos!$F$10)*Datos!$K$6))))-W289</f>
        <v>5546.5315826666665</v>
      </c>
      <c r="Q289" s="231">
        <f>IFERROR(VLOOKUP(C289,[1]Hoja1!$D$5:$E$58,2,FALSE),0)</f>
        <v>0</v>
      </c>
      <c r="R289" s="234"/>
      <c r="S289" s="234"/>
      <c r="T289" s="234"/>
      <c r="U289" s="234"/>
      <c r="V289" s="234">
        <v>25</v>
      </c>
      <c r="W289" s="231"/>
      <c r="X289" s="234">
        <f t="shared" si="29"/>
        <v>9764.4520026666651</v>
      </c>
      <c r="Y289" s="234">
        <f t="shared" si="25"/>
        <v>61181.747997333332</v>
      </c>
      <c r="Z289" s="296" t="s">
        <v>253</v>
      </c>
      <c r="AA289" s="298">
        <v>44197</v>
      </c>
      <c r="AB289" s="235"/>
      <c r="AC289" s="264"/>
    </row>
    <row r="290" spans="1:29" s="236" customFormat="1" x14ac:dyDescent="0.25">
      <c r="A290" s="232"/>
      <c r="B290" s="302">
        <v>284</v>
      </c>
      <c r="C290" s="295" t="s">
        <v>493</v>
      </c>
      <c r="D290" s="232" t="s">
        <v>733</v>
      </c>
      <c r="E290" s="232" t="s">
        <v>85</v>
      </c>
      <c r="F290" s="232" t="s">
        <v>87</v>
      </c>
      <c r="G290" s="295">
        <v>4</v>
      </c>
      <c r="H290" s="296" t="s">
        <v>1209</v>
      </c>
      <c r="I290" s="297" t="s">
        <v>1060</v>
      </c>
      <c r="J290" s="232" t="s">
        <v>1588</v>
      </c>
      <c r="K290" s="233">
        <v>60000</v>
      </c>
      <c r="L290" s="284">
        <f>IF(K290&gt;=Datos!$D$14,(Datos!$D$14*Datos!$C$14),IF(K290&lt;=Datos!$D$14,(K290*Datos!$C$14)))</f>
        <v>1722</v>
      </c>
      <c r="M290" s="284">
        <f>IF(K290&gt;=Datos!$D$15,(Datos!$D$15*Datos!$C$15),IF(K290&lt;=Datos!$D$15,(K290*Datos!$C$15)))</f>
        <v>1824</v>
      </c>
      <c r="N290" s="231"/>
      <c r="O290" s="231">
        <f t="shared" si="33"/>
        <v>56454</v>
      </c>
      <c r="P290" s="223">
        <f>IF(O290&lt;=Datos!$G$7,"0",IF(O290&lt;=Datos!$G$8,(O290-Datos!$F$8)*Datos!$I$6,IF(O290&lt;=Datos!$G$9,Datos!$I$8+(O290-Datos!$F$9)*Datos!$J$6,IF(O290&gt;=Datos!$F$10,(Datos!$I$8+Datos!$J$8)+(O290-Datos!$F$10)*Datos!$K$6))))-W290</f>
        <v>3486.6756666666661</v>
      </c>
      <c r="Q290" s="231">
        <f>IFERROR(VLOOKUP(C290,[1]Hoja1!$D$5:$E$58,2,FALSE),0)</f>
        <v>0</v>
      </c>
      <c r="R290" s="234"/>
      <c r="S290" s="234"/>
      <c r="T290" s="234"/>
      <c r="U290" s="234"/>
      <c r="V290" s="234">
        <v>25</v>
      </c>
      <c r="W290" s="231"/>
      <c r="X290" s="234">
        <f t="shared" si="29"/>
        <v>7057.6756666666661</v>
      </c>
      <c r="Y290" s="234">
        <f t="shared" ref="Y290:Y356" si="37">+K290-X290</f>
        <v>52942.324333333338</v>
      </c>
      <c r="Z290" s="296" t="s">
        <v>255</v>
      </c>
      <c r="AA290" s="298">
        <v>44511</v>
      </c>
      <c r="AB290" s="235"/>
      <c r="AC290" s="264"/>
    </row>
    <row r="291" spans="1:29" s="236" customFormat="1" x14ac:dyDescent="0.25">
      <c r="A291" s="232"/>
      <c r="B291" s="302">
        <v>285</v>
      </c>
      <c r="C291" s="295" t="s">
        <v>1840</v>
      </c>
      <c r="D291" s="232" t="s">
        <v>1841</v>
      </c>
      <c r="E291" s="232" t="s">
        <v>85</v>
      </c>
      <c r="F291" s="232" t="s">
        <v>87</v>
      </c>
      <c r="G291" s="295">
        <v>1</v>
      </c>
      <c r="H291" s="296" t="s">
        <v>1769</v>
      </c>
      <c r="I291" s="297" t="s">
        <v>1187</v>
      </c>
      <c r="J291" s="232" t="s">
        <v>841</v>
      </c>
      <c r="K291" s="233">
        <v>26000</v>
      </c>
      <c r="L291" s="284">
        <f>IF(K291&gt;=Datos!$D$14,(Datos!$D$14*Datos!$C$14),IF(K291&lt;=Datos!$D$14,(K291*Datos!$C$14)))</f>
        <v>746.2</v>
      </c>
      <c r="M291" s="284">
        <f>IF(K291&gt;=Datos!$D$15,(Datos!$D$15*Datos!$C$15),IF(K291&lt;=Datos!$D$15,(K291*Datos!$C$15)))</f>
        <v>790.4</v>
      </c>
      <c r="N291" s="231"/>
      <c r="O291" s="231">
        <f t="shared" ref="O291" si="38">K291-(L291+M291+N291)</f>
        <v>24463.4</v>
      </c>
      <c r="P291" s="223">
        <f>IF(O291&lt;=Datos!$G$7,"0",IF(O291&lt;=Datos!$G$8,(O291-Datos!$F$8)*Datos!$I$6,IF(O291&lt;=Datos!$G$9,Datos!$I$8+(O291-Datos!$F$9)*Datos!$J$6,IF(O291&gt;=Datos!$F$10,(Datos!$I$8+Datos!$J$8)+(O291-Datos!$F$10)*Datos!$K$6))))-W291</f>
        <v>0</v>
      </c>
      <c r="Q291" s="231">
        <f>IFERROR(VLOOKUP(C291,[1]Hoja1!$D$5:$E$58,2,FALSE),0)</f>
        <v>0</v>
      </c>
      <c r="R291" s="234"/>
      <c r="S291" s="234"/>
      <c r="T291" s="234"/>
      <c r="U291" s="234"/>
      <c r="V291" s="234">
        <v>25</v>
      </c>
      <c r="W291" s="231"/>
      <c r="X291" s="234">
        <f t="shared" ref="X291" si="39">SUM(P291:V291)+(L291+M291+N291)-W291</f>
        <v>1561.6</v>
      </c>
      <c r="Y291" s="234">
        <f t="shared" ref="Y291" si="40">+K291-X291</f>
        <v>24438.400000000001</v>
      </c>
      <c r="Z291" s="296">
        <v>9607759026</v>
      </c>
      <c r="AA291" s="298">
        <v>45627</v>
      </c>
      <c r="AB291" s="235"/>
      <c r="AC291" s="264"/>
    </row>
    <row r="292" spans="1:29" s="236" customFormat="1" x14ac:dyDescent="0.25">
      <c r="A292" s="232"/>
      <c r="B292" s="302">
        <v>286</v>
      </c>
      <c r="C292" s="295" t="s">
        <v>1114</v>
      </c>
      <c r="D292" s="232" t="s">
        <v>1115</v>
      </c>
      <c r="E292" s="232" t="s">
        <v>85</v>
      </c>
      <c r="F292" s="232" t="s">
        <v>87</v>
      </c>
      <c r="G292" s="295">
        <v>5</v>
      </c>
      <c r="H292" s="296" t="s">
        <v>1210</v>
      </c>
      <c r="I292" s="297" t="s">
        <v>1062</v>
      </c>
      <c r="J292" s="232" t="s">
        <v>1116</v>
      </c>
      <c r="K292" s="233">
        <f>30000+5000</f>
        <v>35000</v>
      </c>
      <c r="L292" s="284">
        <f>IF(K292&gt;=Datos!$D$14,(Datos!$D$14*Datos!$C$14),IF(K292&lt;=Datos!$D$14,(K292*Datos!$C$14)))</f>
        <v>1004.5</v>
      </c>
      <c r="M292" s="284">
        <f>IF(K292&gt;=Datos!$D$15,(Datos!$D$15*Datos!$C$15),IF(K292&lt;=Datos!$D$15,(K292*Datos!$C$15)))</f>
        <v>1064</v>
      </c>
      <c r="N292" s="231"/>
      <c r="O292" s="231">
        <f t="shared" si="33"/>
        <v>32931.5</v>
      </c>
      <c r="P292" s="223">
        <f>IF(O292&lt;=Datos!$G$7,"0",IF(O292&lt;=Datos!$G$8,(O292-Datos!$F$8)*Datos!$I$6,IF(O292&lt;=Datos!$G$9,Datos!$I$8+(O292-Datos!$F$9)*Datos!$J$6,IF(O292&gt;=Datos!$F$10,(Datos!$I$8+Datos!$J$8)+(O292-Datos!$F$10)*Datos!$K$6))))-W292</f>
        <v>0</v>
      </c>
      <c r="Q292" s="231">
        <f>IFERROR(VLOOKUP(C292,[1]Hoja1!$D$5:$E$58,2,FALSE),0)</f>
        <v>0</v>
      </c>
      <c r="R292" s="234"/>
      <c r="S292" s="234"/>
      <c r="T292" s="234"/>
      <c r="U292" s="234"/>
      <c r="V292" s="234">
        <v>25</v>
      </c>
      <c r="W292" s="231"/>
      <c r="X292" s="234">
        <f t="shared" ref="X292:X358" si="41">SUM(P292:V292)+(L292+M292+N292)-W292</f>
        <v>2093.5</v>
      </c>
      <c r="Y292" s="234">
        <f t="shared" si="37"/>
        <v>32906.5</v>
      </c>
      <c r="Z292" s="296"/>
      <c r="AA292" s="298">
        <v>44866</v>
      </c>
      <c r="AB292" s="235"/>
      <c r="AC292" s="264"/>
    </row>
    <row r="293" spans="1:29" s="236" customFormat="1" x14ac:dyDescent="0.25">
      <c r="A293" s="232"/>
      <c r="B293" s="302">
        <v>287</v>
      </c>
      <c r="C293" s="295" t="s">
        <v>494</v>
      </c>
      <c r="D293" s="232" t="s">
        <v>734</v>
      </c>
      <c r="E293" s="232" t="s">
        <v>85</v>
      </c>
      <c r="F293" s="232" t="s">
        <v>87</v>
      </c>
      <c r="G293" s="295">
        <v>5</v>
      </c>
      <c r="H293" s="296" t="s">
        <v>1662</v>
      </c>
      <c r="I293" s="297" t="s">
        <v>1060</v>
      </c>
      <c r="J293" s="232" t="s">
        <v>837</v>
      </c>
      <c r="K293" s="233">
        <f>63063+1937</f>
        <v>65000</v>
      </c>
      <c r="L293" s="284">
        <f>IF(K293&gt;=Datos!$D$14,(Datos!$D$14*Datos!$C$14),IF(K293&lt;=Datos!$D$14,(K293*Datos!$C$14)))</f>
        <v>1865.5</v>
      </c>
      <c r="M293" s="284">
        <f>IF(K293&gt;=Datos!$D$15,(Datos!$D$15*Datos!$C$15),IF(K293&lt;=Datos!$D$15,(K293*Datos!$C$15)))</f>
        <v>1976</v>
      </c>
      <c r="N293" s="231"/>
      <c r="O293" s="231">
        <f t="shared" si="33"/>
        <v>61158.5</v>
      </c>
      <c r="P293" s="223">
        <f>IF(O293&lt;=Datos!$G$7,"0",IF(O293&lt;=Datos!$G$8,(O293-Datos!$F$8)*Datos!$I$6,IF(O293&lt;=Datos!$G$9,Datos!$I$8+(O293-Datos!$F$9)*Datos!$J$6,IF(O293&gt;=Datos!$F$10,(Datos!$I$8+Datos!$J$8)+(O293-Datos!$F$10)*Datos!$K$6))))-W293</f>
        <v>4427.5756666666657</v>
      </c>
      <c r="Q293" s="231">
        <f>IFERROR(VLOOKUP(C293,[1]Hoja1!$D$5:$E$58,2,FALSE),0)</f>
        <v>0</v>
      </c>
      <c r="R293" s="234"/>
      <c r="S293" s="234"/>
      <c r="T293" s="234"/>
      <c r="U293" s="234"/>
      <c r="V293" s="234">
        <v>25</v>
      </c>
      <c r="W293" s="231"/>
      <c r="X293" s="234">
        <f t="shared" si="41"/>
        <v>8294.0756666666657</v>
      </c>
      <c r="Y293" s="234">
        <f t="shared" si="37"/>
        <v>56705.924333333336</v>
      </c>
      <c r="Z293" s="296" t="s">
        <v>256</v>
      </c>
      <c r="AA293" s="298">
        <v>39692</v>
      </c>
      <c r="AB293" s="235"/>
      <c r="AC293" s="264"/>
    </row>
    <row r="294" spans="1:29" s="236" customFormat="1" x14ac:dyDescent="0.25">
      <c r="A294" s="232"/>
      <c r="B294" s="302">
        <v>288</v>
      </c>
      <c r="C294" s="295" t="s">
        <v>495</v>
      </c>
      <c r="D294" s="232" t="s">
        <v>735</v>
      </c>
      <c r="E294" s="232" t="s">
        <v>85</v>
      </c>
      <c r="F294" s="232" t="s">
        <v>87</v>
      </c>
      <c r="G294" s="295">
        <v>1</v>
      </c>
      <c r="H294" s="296" t="s">
        <v>1154</v>
      </c>
      <c r="I294" s="297" t="s">
        <v>1062</v>
      </c>
      <c r="J294" s="232" t="s">
        <v>833</v>
      </c>
      <c r="K294" s="233">
        <f>13200+4800</f>
        <v>18000</v>
      </c>
      <c r="L294" s="284">
        <f>IF(K294&gt;=Datos!$D$14,(Datos!$D$14*Datos!$C$14),IF(K294&lt;=Datos!$D$14,(K294*Datos!$C$14)))</f>
        <v>516.6</v>
      </c>
      <c r="M294" s="284">
        <f>IF(K294&gt;=Datos!$D$15,(Datos!$D$15*Datos!$C$15),IF(K294&lt;=Datos!$D$15,(K294*Datos!$C$15)))</f>
        <v>547.20000000000005</v>
      </c>
      <c r="N294" s="231"/>
      <c r="O294" s="231">
        <f t="shared" si="33"/>
        <v>16936.2</v>
      </c>
      <c r="P294" s="223">
        <f>IF(O294&lt;=Datos!$G$7,"0",IF(O294&lt;=Datos!$G$8,(O294-Datos!$F$8)*Datos!$I$6,IF(O294&lt;=Datos!$G$9,Datos!$I$8+(O294-Datos!$F$9)*Datos!$J$6,IF(O294&gt;=Datos!$F$10,(Datos!$I$8+Datos!$J$8)+(O294-Datos!$F$10)*Datos!$K$6))))-W294</f>
        <v>0</v>
      </c>
      <c r="Q294" s="231">
        <f>IFERROR(VLOOKUP(C294,[1]Hoja1!$D$5:$E$58,2,FALSE),0)</f>
        <v>0</v>
      </c>
      <c r="R294" s="234"/>
      <c r="S294" s="234"/>
      <c r="T294" s="234"/>
      <c r="U294" s="234"/>
      <c r="V294" s="234">
        <v>25</v>
      </c>
      <c r="W294" s="231"/>
      <c r="X294" s="234">
        <f t="shared" si="41"/>
        <v>1088.8000000000002</v>
      </c>
      <c r="Y294" s="234">
        <f t="shared" si="37"/>
        <v>16911.2</v>
      </c>
      <c r="Z294" s="296" t="s">
        <v>257</v>
      </c>
      <c r="AA294" s="298">
        <v>44197</v>
      </c>
      <c r="AB294" s="235"/>
      <c r="AC294" s="264"/>
    </row>
    <row r="295" spans="1:29" s="236" customFormat="1" x14ac:dyDescent="0.25">
      <c r="A295" s="232"/>
      <c r="B295" s="302">
        <v>289</v>
      </c>
      <c r="C295" s="295" t="s">
        <v>1096</v>
      </c>
      <c r="D295" s="232" t="s">
        <v>1097</v>
      </c>
      <c r="E295" s="232" t="s">
        <v>85</v>
      </c>
      <c r="F295" s="232" t="s">
        <v>87</v>
      </c>
      <c r="G295" s="295">
        <v>5</v>
      </c>
      <c r="H295" s="296" t="s">
        <v>1210</v>
      </c>
      <c r="I295" s="297" t="s">
        <v>1067</v>
      </c>
      <c r="J295" s="232" t="s">
        <v>1098</v>
      </c>
      <c r="K295" s="233">
        <v>60000</v>
      </c>
      <c r="L295" s="284">
        <f>IF(K295&gt;=Datos!$D$14,(Datos!$D$14*Datos!$C$14),IF(K295&lt;=Datos!$D$14,(K295*Datos!$C$14)))</f>
        <v>1722</v>
      </c>
      <c r="M295" s="284">
        <f>IF(K295&gt;=Datos!$D$15,(Datos!$D$15*Datos!$C$15),IF(K295&lt;=Datos!$D$15,(K295*Datos!$C$15)))</f>
        <v>1824</v>
      </c>
      <c r="N295" s="231"/>
      <c r="O295" s="231">
        <f t="shared" si="33"/>
        <v>56454</v>
      </c>
      <c r="P295" s="223">
        <f>IF(O295&lt;=Datos!$G$7,"0",IF(O295&lt;=Datos!$G$8,(O295-Datos!$F$8)*Datos!$I$6,IF(O295&lt;=Datos!$G$9,Datos!$I$8+(O295-Datos!$F$9)*Datos!$J$6,IF(O295&gt;=Datos!$F$10,(Datos!$I$8+Datos!$J$8)+(O295-Datos!$F$10)*Datos!$K$6))))-W295</f>
        <v>3486.6756666666661</v>
      </c>
      <c r="Q295" s="231">
        <f>IFERROR(VLOOKUP(C295,[1]Hoja1!$D$5:$E$58,2,FALSE),0)</f>
        <v>0</v>
      </c>
      <c r="R295" s="234"/>
      <c r="S295" s="234"/>
      <c r="T295" s="234"/>
      <c r="U295" s="234"/>
      <c r="V295" s="234">
        <v>25</v>
      </c>
      <c r="W295" s="231"/>
      <c r="X295" s="234">
        <f t="shared" si="41"/>
        <v>7057.6756666666661</v>
      </c>
      <c r="Y295" s="234">
        <f t="shared" si="37"/>
        <v>52942.324333333338</v>
      </c>
      <c r="Z295" s="296"/>
      <c r="AA295" s="298">
        <v>44835</v>
      </c>
      <c r="AB295" s="235"/>
      <c r="AC295" s="264"/>
    </row>
    <row r="296" spans="1:29" s="236" customFormat="1" x14ac:dyDescent="0.25">
      <c r="A296" s="232"/>
      <c r="B296" s="302">
        <v>290</v>
      </c>
      <c r="C296" s="295" t="s">
        <v>1472</v>
      </c>
      <c r="D296" s="232" t="s">
        <v>1473</v>
      </c>
      <c r="E296" s="232" t="s">
        <v>85</v>
      </c>
      <c r="F296" s="232" t="s">
        <v>87</v>
      </c>
      <c r="G296" s="295">
        <v>1</v>
      </c>
      <c r="H296" s="296" t="s">
        <v>1379</v>
      </c>
      <c r="I296" s="297" t="s">
        <v>1067</v>
      </c>
      <c r="J296" s="232" t="s">
        <v>1474</v>
      </c>
      <c r="K296" s="233">
        <v>26000</v>
      </c>
      <c r="L296" s="284">
        <f>IF(K296&gt;=Datos!$D$14,(Datos!$D$14*Datos!$C$14),IF(K296&lt;=Datos!$D$14,(K296*Datos!$C$14)))</f>
        <v>746.2</v>
      </c>
      <c r="M296" s="284">
        <f>IF(K296&gt;=Datos!$D$15,(Datos!$D$15*Datos!$C$15),IF(K296&lt;=Datos!$D$15,(K296*Datos!$C$15)))</f>
        <v>790.4</v>
      </c>
      <c r="N296" s="231"/>
      <c r="O296" s="231">
        <f t="shared" si="33"/>
        <v>24463.4</v>
      </c>
      <c r="P296" s="223">
        <f>IF(O296&lt;=Datos!$G$7,"0",IF(O296&lt;=Datos!$G$8,(O296-Datos!$F$8)*Datos!$I$6,IF(O296&lt;=Datos!$G$9,Datos!$I$8+(O296-Datos!$F$9)*Datos!$J$6,IF(O296&gt;=Datos!$F$10,(Datos!$I$8+Datos!$J$8)+(O296-Datos!$F$10)*Datos!$K$6))))-W296</f>
        <v>0</v>
      </c>
      <c r="Q296" s="231">
        <f>IFERROR(VLOOKUP(C296,[1]Hoja1!$D$5:$E$58,2,FALSE),0)</f>
        <v>0</v>
      </c>
      <c r="R296" s="234"/>
      <c r="S296" s="234"/>
      <c r="T296" s="234"/>
      <c r="U296" s="234"/>
      <c r="V296" s="234">
        <v>25</v>
      </c>
      <c r="W296" s="231"/>
      <c r="X296" s="234">
        <f t="shared" si="41"/>
        <v>1561.6</v>
      </c>
      <c r="Y296" s="234">
        <f t="shared" si="37"/>
        <v>24438.400000000001</v>
      </c>
      <c r="Z296" s="296"/>
      <c r="AA296" s="298">
        <v>45323</v>
      </c>
      <c r="AB296" s="235"/>
      <c r="AC296" s="264"/>
    </row>
    <row r="297" spans="1:29" s="236" customFormat="1" x14ac:dyDescent="0.25">
      <c r="A297" s="232"/>
      <c r="B297" s="302">
        <v>291</v>
      </c>
      <c r="C297" s="295" t="s">
        <v>496</v>
      </c>
      <c r="D297" s="232" t="s">
        <v>736</v>
      </c>
      <c r="E297" s="232" t="s">
        <v>85</v>
      </c>
      <c r="F297" s="232" t="s">
        <v>87</v>
      </c>
      <c r="G297" s="295">
        <v>5</v>
      </c>
      <c r="H297" s="296" t="s">
        <v>1210</v>
      </c>
      <c r="I297" s="297" t="s">
        <v>1060</v>
      </c>
      <c r="J297" s="232" t="s">
        <v>836</v>
      </c>
      <c r="K297" s="233">
        <f>66150+13850</f>
        <v>80000</v>
      </c>
      <c r="L297" s="284">
        <f>IF(K297&gt;=Datos!$D$14,(Datos!$D$14*Datos!$C$14),IF(K297&lt;=Datos!$D$14,(K297*Datos!$C$14)))</f>
        <v>2296</v>
      </c>
      <c r="M297" s="284">
        <f>IF(K297&gt;=Datos!$D$15,(Datos!$D$15*Datos!$C$15),IF(K297&lt;=Datos!$D$15,(K297*Datos!$C$15)))</f>
        <v>2432</v>
      </c>
      <c r="N297" s="231"/>
      <c r="O297" s="231">
        <f t="shared" si="33"/>
        <v>75272</v>
      </c>
      <c r="P297" s="223">
        <f>IF(O297&lt;=Datos!$G$7,"0",IF(O297&lt;=Datos!$G$8,(O297-Datos!$F$8)*Datos!$I$6,IF(O297&lt;=Datos!$G$9,Datos!$I$8+(O297-Datos!$F$9)*Datos!$J$6,IF(O297&gt;=Datos!$F$10,(Datos!$I$8+Datos!$J$8)+(O297-Datos!$F$10)*Datos!$K$6))))-W297</f>
        <v>7400.8606666666674</v>
      </c>
      <c r="Q297" s="231">
        <v>9967.31</v>
      </c>
      <c r="R297" s="234"/>
      <c r="S297" s="234"/>
      <c r="T297" s="234"/>
      <c r="U297" s="234"/>
      <c r="V297" s="234">
        <v>25</v>
      </c>
      <c r="W297" s="231"/>
      <c r="X297" s="234">
        <f t="shared" si="41"/>
        <v>22121.170666666665</v>
      </c>
      <c r="Y297" s="234">
        <f t="shared" si="37"/>
        <v>57878.829333333335</v>
      </c>
      <c r="Z297" s="296" t="s">
        <v>258</v>
      </c>
      <c r="AA297" s="298">
        <v>44197</v>
      </c>
      <c r="AB297" s="235"/>
      <c r="AC297" s="264"/>
    </row>
    <row r="298" spans="1:29" s="236" customFormat="1" x14ac:dyDescent="0.25">
      <c r="A298" s="232"/>
      <c r="B298" s="302">
        <v>292</v>
      </c>
      <c r="C298" s="295" t="s">
        <v>1183</v>
      </c>
      <c r="D298" s="232" t="s">
        <v>1184</v>
      </c>
      <c r="E298" s="232" t="s">
        <v>85</v>
      </c>
      <c r="F298" s="232" t="s">
        <v>87</v>
      </c>
      <c r="G298" s="295">
        <v>1</v>
      </c>
      <c r="H298" s="296" t="s">
        <v>1548</v>
      </c>
      <c r="I298" s="297" t="s">
        <v>1062</v>
      </c>
      <c r="J298" s="232" t="s">
        <v>833</v>
      </c>
      <c r="K298" s="233">
        <f>15000+3000</f>
        <v>18000</v>
      </c>
      <c r="L298" s="284">
        <f>IF(K298&gt;=Datos!$D$14,(Datos!$D$14*Datos!$C$14),IF(K298&lt;=Datos!$D$14,(K298*Datos!$C$14)))</f>
        <v>516.6</v>
      </c>
      <c r="M298" s="284">
        <f>IF(K298&gt;=Datos!$D$15,(Datos!$D$15*Datos!$C$15),IF(K298&lt;=Datos!$D$15,(K298*Datos!$C$15)))</f>
        <v>547.20000000000005</v>
      </c>
      <c r="N298" s="231"/>
      <c r="O298" s="231">
        <f t="shared" si="33"/>
        <v>16936.2</v>
      </c>
      <c r="P298" s="223">
        <f>IF(O298&lt;=Datos!$G$7,"0",IF(O298&lt;=Datos!$G$8,(O298-Datos!$F$8)*Datos!$I$6,IF(O298&lt;=Datos!$G$9,Datos!$I$8+(O298-Datos!$F$9)*Datos!$J$6,IF(O298&gt;=Datos!$F$10,(Datos!$I$8+Datos!$J$8)+(O298-Datos!$F$10)*Datos!$K$6))))-W298</f>
        <v>0</v>
      </c>
      <c r="Q298" s="231">
        <f>IFERROR(VLOOKUP(C298,[1]Hoja1!$D$5:$E$58,2,FALSE),0)</f>
        <v>0</v>
      </c>
      <c r="R298" s="234"/>
      <c r="S298" s="234"/>
      <c r="T298" s="234"/>
      <c r="U298" s="234"/>
      <c r="V298" s="234">
        <v>25</v>
      </c>
      <c r="W298" s="231"/>
      <c r="X298" s="234">
        <f t="shared" si="41"/>
        <v>1088.8000000000002</v>
      </c>
      <c r="Y298" s="234">
        <f t="shared" si="37"/>
        <v>16911.2</v>
      </c>
      <c r="Z298" s="296"/>
      <c r="AA298" s="298">
        <v>44927</v>
      </c>
      <c r="AB298" s="235"/>
      <c r="AC298" s="264"/>
    </row>
    <row r="299" spans="1:29" s="236" customFormat="1" x14ac:dyDescent="0.25">
      <c r="A299" s="232"/>
      <c r="B299" s="302">
        <v>293</v>
      </c>
      <c r="C299" s="295" t="s">
        <v>497</v>
      </c>
      <c r="D299" s="232" t="s">
        <v>737</v>
      </c>
      <c r="E299" s="232" t="s">
        <v>85</v>
      </c>
      <c r="F299" s="232" t="s">
        <v>87</v>
      </c>
      <c r="G299" s="295">
        <v>4</v>
      </c>
      <c r="H299" s="296" t="s">
        <v>1209</v>
      </c>
      <c r="I299" s="297" t="s">
        <v>1061</v>
      </c>
      <c r="J299" s="232" t="s">
        <v>840</v>
      </c>
      <c r="K299" s="233">
        <f>45000+15000</f>
        <v>60000</v>
      </c>
      <c r="L299" s="284">
        <f>IF(K299&gt;=Datos!$D$14,(Datos!$D$14*Datos!$C$14),IF(K299&lt;=Datos!$D$14,(K299*Datos!$C$14)))</f>
        <v>1722</v>
      </c>
      <c r="M299" s="284">
        <f>IF(K299&gt;=Datos!$D$15,(Datos!$D$15*Datos!$C$15),IF(K299&lt;=Datos!$D$15,(K299*Datos!$C$15)))</f>
        <v>1824</v>
      </c>
      <c r="N299" s="231"/>
      <c r="O299" s="231">
        <f t="shared" si="33"/>
        <v>56454</v>
      </c>
      <c r="P299" s="223">
        <f>IF(O299&lt;=Datos!$G$7,"0",IF(O299&lt;=Datos!$G$8,(O299-Datos!$F$8)*Datos!$I$6,IF(O299&lt;=Datos!$G$9,Datos!$I$8+(O299-Datos!$F$9)*Datos!$J$6,IF(O299&gt;=Datos!$F$10,(Datos!$I$8+Datos!$J$8)+(O299-Datos!$F$10)*Datos!$K$6))))-W299</f>
        <v>3486.6756666666661</v>
      </c>
      <c r="Q299" s="231">
        <v>7184.24</v>
      </c>
      <c r="R299" s="234"/>
      <c r="S299" s="234"/>
      <c r="T299" s="234"/>
      <c r="U299" s="234"/>
      <c r="V299" s="234">
        <v>25</v>
      </c>
      <c r="W299" s="231"/>
      <c r="X299" s="234">
        <f t="shared" si="41"/>
        <v>14241.915666666666</v>
      </c>
      <c r="Y299" s="234">
        <f t="shared" si="37"/>
        <v>45758.084333333332</v>
      </c>
      <c r="Z299" s="296" t="s">
        <v>259</v>
      </c>
      <c r="AA299" s="298">
        <v>44197</v>
      </c>
      <c r="AB299" s="235"/>
      <c r="AC299" s="264"/>
    </row>
    <row r="300" spans="1:29" s="236" customFormat="1" x14ac:dyDescent="0.25">
      <c r="A300" s="232"/>
      <c r="B300" s="302">
        <v>294</v>
      </c>
      <c r="C300" s="295" t="s">
        <v>498</v>
      </c>
      <c r="D300" s="232" t="s">
        <v>738</v>
      </c>
      <c r="E300" s="232" t="s">
        <v>85</v>
      </c>
      <c r="F300" s="232" t="s">
        <v>87</v>
      </c>
      <c r="G300" s="295">
        <v>5</v>
      </c>
      <c r="H300" s="296" t="s">
        <v>1210</v>
      </c>
      <c r="I300" s="297" t="s">
        <v>1062</v>
      </c>
      <c r="J300" s="232" t="s">
        <v>837</v>
      </c>
      <c r="K300" s="233">
        <f>64350+650</f>
        <v>65000</v>
      </c>
      <c r="L300" s="284">
        <f>IF(K300&gt;=Datos!$D$14,(Datos!$D$14*Datos!$C$14),IF(K300&lt;=Datos!$D$14,(K300*Datos!$C$14)))</f>
        <v>1865.5</v>
      </c>
      <c r="M300" s="284">
        <f>IF(K300&gt;=Datos!$D$15,(Datos!$D$15*Datos!$C$15),IF(K300&lt;=Datos!$D$15,(K300*Datos!$C$15)))</f>
        <v>1976</v>
      </c>
      <c r="N300" s="231"/>
      <c r="O300" s="231">
        <f t="shared" si="33"/>
        <v>61158.5</v>
      </c>
      <c r="P300" s="223">
        <f>IF(O300&lt;=Datos!$G$7,"0",IF(O300&lt;=Datos!$G$8,(O300-Datos!$F$8)*Datos!$I$6,IF(O300&lt;=Datos!$G$9,Datos!$I$8+(O300-Datos!$F$9)*Datos!$J$6,IF(O300&gt;=Datos!$F$10,(Datos!$I$8+Datos!$J$8)+(O300-Datos!$F$10)*Datos!$K$6))))-W300</f>
        <v>4427.5756666666657</v>
      </c>
      <c r="Q300" s="231">
        <f>IFERROR(VLOOKUP(C300,[1]Hoja1!$D$5:$E$58,2,FALSE),0)</f>
        <v>0</v>
      </c>
      <c r="R300" s="234"/>
      <c r="S300" s="234"/>
      <c r="T300" s="234"/>
      <c r="U300" s="234"/>
      <c r="V300" s="234">
        <v>25</v>
      </c>
      <c r="W300" s="231"/>
      <c r="X300" s="234">
        <f t="shared" si="41"/>
        <v>8294.0756666666657</v>
      </c>
      <c r="Y300" s="234">
        <f t="shared" si="37"/>
        <v>56705.924333333336</v>
      </c>
      <c r="Z300" s="296" t="s">
        <v>260</v>
      </c>
      <c r="AA300" s="298">
        <v>44197</v>
      </c>
      <c r="AB300" s="235"/>
      <c r="AC300" s="264"/>
    </row>
    <row r="301" spans="1:29" s="236" customFormat="1" x14ac:dyDescent="0.25">
      <c r="A301" s="232"/>
      <c r="B301" s="302">
        <v>295</v>
      </c>
      <c r="C301" s="295" t="s">
        <v>499</v>
      </c>
      <c r="D301" s="232" t="s">
        <v>739</v>
      </c>
      <c r="E301" s="232" t="s">
        <v>85</v>
      </c>
      <c r="F301" s="232" t="s">
        <v>87</v>
      </c>
      <c r="G301" s="295">
        <v>5</v>
      </c>
      <c r="H301" s="296" t="s">
        <v>1210</v>
      </c>
      <c r="I301" s="297" t="s">
        <v>1061</v>
      </c>
      <c r="J301" s="232" t="s">
        <v>837</v>
      </c>
      <c r="K301" s="233">
        <f>45000+15000</f>
        <v>60000</v>
      </c>
      <c r="L301" s="284">
        <f>IF(K301&gt;=Datos!$D$14,(Datos!$D$14*Datos!$C$14),IF(K301&lt;=Datos!$D$14,(K301*Datos!$C$14)))</f>
        <v>1722</v>
      </c>
      <c r="M301" s="284">
        <f>IF(K301&gt;=Datos!$D$15,(Datos!$D$15*Datos!$C$15),IF(K301&lt;=Datos!$D$15,(K301*Datos!$C$15)))</f>
        <v>1824</v>
      </c>
      <c r="N301" s="231"/>
      <c r="O301" s="231">
        <f t="shared" si="33"/>
        <v>56454</v>
      </c>
      <c r="P301" s="223">
        <f>IF(O301&lt;=Datos!$G$7,"0",IF(O301&lt;=Datos!$G$8,(O301-Datos!$F$8)*Datos!$I$6,IF(O301&lt;=Datos!$G$9,Datos!$I$8+(O301-Datos!$F$9)*Datos!$J$6,IF(O301&gt;=Datos!$F$10,(Datos!$I$8+Datos!$J$8)+(O301-Datos!$F$10)*Datos!$K$6))))-W301</f>
        <v>3486.6756666666661</v>
      </c>
      <c r="Q301" s="231">
        <f>IFERROR(VLOOKUP(C301,[1]Hoja1!$D$5:$E$58,2,FALSE),0)</f>
        <v>0</v>
      </c>
      <c r="R301" s="234"/>
      <c r="S301" s="234"/>
      <c r="T301" s="234"/>
      <c r="U301" s="234"/>
      <c r="V301" s="234">
        <v>25</v>
      </c>
      <c r="W301" s="231"/>
      <c r="X301" s="234">
        <f t="shared" si="41"/>
        <v>7057.6756666666661</v>
      </c>
      <c r="Y301" s="234">
        <f t="shared" si="37"/>
        <v>52942.324333333338</v>
      </c>
      <c r="Z301" s="296" t="s">
        <v>261</v>
      </c>
      <c r="AA301" s="298">
        <v>44511</v>
      </c>
      <c r="AB301" s="235"/>
      <c r="AC301" s="264"/>
    </row>
    <row r="302" spans="1:29" s="236" customFormat="1" x14ac:dyDescent="0.25">
      <c r="A302" s="232"/>
      <c r="B302" s="302">
        <v>296</v>
      </c>
      <c r="C302" s="295" t="s">
        <v>500</v>
      </c>
      <c r="D302" s="232" t="s">
        <v>740</v>
      </c>
      <c r="E302" s="232" t="s">
        <v>85</v>
      </c>
      <c r="F302" s="232" t="s">
        <v>87</v>
      </c>
      <c r="G302" s="295">
        <v>5</v>
      </c>
      <c r="H302" s="296" t="s">
        <v>1662</v>
      </c>
      <c r="I302" s="297" t="s">
        <v>1061</v>
      </c>
      <c r="J302" s="232" t="s">
        <v>837</v>
      </c>
      <c r="K302" s="233">
        <f>45500+14500</f>
        <v>60000</v>
      </c>
      <c r="L302" s="284">
        <f>IF(K302&gt;=Datos!$D$14,(Datos!$D$14*Datos!$C$14),IF(K302&lt;=Datos!$D$14,(K302*Datos!$C$14)))</f>
        <v>1722</v>
      </c>
      <c r="M302" s="284">
        <f>IF(K302&gt;=Datos!$D$15,(Datos!$D$15*Datos!$C$15),IF(K302&lt;=Datos!$D$15,(K302*Datos!$C$15)))</f>
        <v>1824</v>
      </c>
      <c r="N302" s="231">
        <f>1715.46*2</f>
        <v>3430.92</v>
      </c>
      <c r="O302" s="231">
        <f t="shared" si="33"/>
        <v>53023.08</v>
      </c>
      <c r="P302" s="223">
        <f>IF(O302&lt;=Datos!$G$7,"0",IF(O302&lt;=Datos!$G$8,(O302-Datos!$F$8)*Datos!$I$6,IF(O302&lt;=Datos!$G$9,Datos!$I$8+(O302-Datos!$F$9)*Datos!$J$6,IF(O302&gt;=Datos!$F$10,(Datos!$I$8+Datos!$J$8)+(O302-Datos!$F$10)*Datos!$K$6))))-W302</f>
        <v>2800.4916666666663</v>
      </c>
      <c r="Q302" s="231">
        <v>20924.71</v>
      </c>
      <c r="R302" s="234"/>
      <c r="S302" s="234"/>
      <c r="T302" s="234"/>
      <c r="U302" s="234"/>
      <c r="V302" s="234">
        <v>25</v>
      </c>
      <c r="W302" s="231"/>
      <c r="X302" s="234">
        <f t="shared" si="41"/>
        <v>30727.121666666666</v>
      </c>
      <c r="Y302" s="234">
        <f t="shared" si="37"/>
        <v>29272.878333333334</v>
      </c>
      <c r="Z302" s="296" t="s">
        <v>262</v>
      </c>
      <c r="AA302" s="298">
        <v>44197</v>
      </c>
      <c r="AB302" s="235"/>
      <c r="AC302" s="264"/>
    </row>
    <row r="303" spans="1:29" s="236" customFormat="1" x14ac:dyDescent="0.25">
      <c r="A303" s="232"/>
      <c r="B303" s="302">
        <v>297</v>
      </c>
      <c r="C303" s="295" t="s">
        <v>1608</v>
      </c>
      <c r="D303" s="232" t="s">
        <v>1609</v>
      </c>
      <c r="E303" s="232" t="s">
        <v>85</v>
      </c>
      <c r="F303" s="232" t="s">
        <v>87</v>
      </c>
      <c r="G303" s="295">
        <v>1</v>
      </c>
      <c r="H303" s="296" t="s">
        <v>1548</v>
      </c>
      <c r="I303" s="297" t="s">
        <v>1067</v>
      </c>
      <c r="J303" s="232" t="s">
        <v>1610</v>
      </c>
      <c r="K303" s="233">
        <v>20000</v>
      </c>
      <c r="L303" s="284">
        <f>IF(K303&gt;=Datos!$D$14,(Datos!$D$14*Datos!$C$14),IF(K303&lt;=Datos!$D$14,(K303*Datos!$C$14)))</f>
        <v>574</v>
      </c>
      <c r="M303" s="284">
        <f>IF(K303&gt;=Datos!$D$15,(Datos!$D$15*Datos!$C$15),IF(K303&lt;=Datos!$D$15,(K303*Datos!$C$15)))</f>
        <v>608</v>
      </c>
      <c r="N303" s="231"/>
      <c r="O303" s="231">
        <f t="shared" ref="O303" si="42">K303-(L303+M303+N303)</f>
        <v>18818</v>
      </c>
      <c r="P303" s="223">
        <f>IF(O303&lt;=Datos!$G$7,"0",IF(O303&lt;=Datos!$G$8,(O303-Datos!$F$8)*Datos!$I$6,IF(O303&lt;=Datos!$G$9,Datos!$I$8+(O303-Datos!$F$9)*Datos!$J$6,IF(O303&gt;=Datos!$F$10,(Datos!$I$8+Datos!$J$8)+(O303-Datos!$F$10)*Datos!$K$6))))-W303</f>
        <v>0</v>
      </c>
      <c r="Q303" s="231">
        <v>0</v>
      </c>
      <c r="R303" s="234"/>
      <c r="S303" s="234"/>
      <c r="T303" s="234"/>
      <c r="U303" s="234"/>
      <c r="V303" s="234">
        <v>25</v>
      </c>
      <c r="W303" s="231"/>
      <c r="X303" s="234">
        <f t="shared" ref="X303" si="43">SUM(P303:V303)+(L303+M303+N303)-W303</f>
        <v>1207</v>
      </c>
      <c r="Y303" s="234">
        <f t="shared" ref="Y303" si="44">+K303-X303</f>
        <v>18793</v>
      </c>
      <c r="Z303" s="296">
        <v>9607405803</v>
      </c>
      <c r="AA303" s="298">
        <v>45536</v>
      </c>
      <c r="AB303" s="235"/>
      <c r="AC303" s="264"/>
    </row>
    <row r="304" spans="1:29" s="236" customFormat="1" x14ac:dyDescent="0.25">
      <c r="A304" s="232"/>
      <c r="B304" s="302">
        <v>298</v>
      </c>
      <c r="C304" s="295" t="s">
        <v>501</v>
      </c>
      <c r="D304" s="232" t="s">
        <v>741</v>
      </c>
      <c r="E304" s="232" t="s">
        <v>85</v>
      </c>
      <c r="F304" s="232" t="s">
        <v>87</v>
      </c>
      <c r="G304" s="295">
        <v>5</v>
      </c>
      <c r="H304" s="296" t="s">
        <v>1210</v>
      </c>
      <c r="I304" s="297" t="s">
        <v>1060</v>
      </c>
      <c r="J304" s="232" t="s">
        <v>836</v>
      </c>
      <c r="K304" s="233">
        <v>80000</v>
      </c>
      <c r="L304" s="284">
        <f>IF(K304&gt;=Datos!$D$14,(Datos!$D$14*Datos!$C$14),IF(K304&lt;=Datos!$D$14,(K304*Datos!$C$14)))</f>
        <v>2296</v>
      </c>
      <c r="M304" s="284">
        <f>IF(K304&gt;=Datos!$D$15,(Datos!$D$15*Datos!$C$15),IF(K304&lt;=Datos!$D$15,(K304*Datos!$C$15)))</f>
        <v>2432</v>
      </c>
      <c r="N304" s="231"/>
      <c r="O304" s="231">
        <f t="shared" ref="O304:O370" si="45">K304-(L304+M304+N304)</f>
        <v>75272</v>
      </c>
      <c r="P304" s="223">
        <f>IF(O304&lt;=Datos!$G$7,"0",IF(O304&lt;=Datos!$G$8,(O304-Datos!$F$8)*Datos!$I$6,IF(O304&lt;=Datos!$G$9,Datos!$I$8+(O304-Datos!$F$9)*Datos!$J$6,IF(O304&gt;=Datos!$F$10,(Datos!$I$8+Datos!$J$8)+(O304-Datos!$F$10)*Datos!$K$6))))-W304</f>
        <v>7400.8606666666674</v>
      </c>
      <c r="Q304" s="231">
        <f>IFERROR(VLOOKUP(C304,[1]Hoja1!$D$5:$E$58,2,FALSE),0)</f>
        <v>0</v>
      </c>
      <c r="R304" s="234"/>
      <c r="S304" s="234"/>
      <c r="T304" s="234"/>
      <c r="U304" s="234"/>
      <c r="V304" s="234">
        <v>25</v>
      </c>
      <c r="W304" s="231"/>
      <c r="X304" s="234">
        <f t="shared" si="41"/>
        <v>12153.860666666667</v>
      </c>
      <c r="Y304" s="234">
        <f t="shared" si="37"/>
        <v>67846.139333333325</v>
      </c>
      <c r="Z304" s="296" t="s">
        <v>263</v>
      </c>
      <c r="AA304" s="298">
        <v>44197</v>
      </c>
      <c r="AB304" s="235"/>
      <c r="AC304" s="264"/>
    </row>
    <row r="305" spans="1:29" s="236" customFormat="1" x14ac:dyDescent="0.25">
      <c r="A305" s="232"/>
      <c r="B305" s="302">
        <v>299</v>
      </c>
      <c r="C305" s="295" t="s">
        <v>1124</v>
      </c>
      <c r="D305" s="232" t="s">
        <v>1125</v>
      </c>
      <c r="E305" s="232" t="s">
        <v>85</v>
      </c>
      <c r="F305" s="232" t="s">
        <v>87</v>
      </c>
      <c r="G305" s="295">
        <v>5</v>
      </c>
      <c r="H305" s="296" t="s">
        <v>1210</v>
      </c>
      <c r="I305" s="297" t="s">
        <v>1060</v>
      </c>
      <c r="J305" s="232" t="s">
        <v>1126</v>
      </c>
      <c r="K305" s="233">
        <f>30000+5000</f>
        <v>35000</v>
      </c>
      <c r="L305" s="284">
        <f>IF(K305&gt;=Datos!$D$14,(Datos!$D$14*Datos!$C$14),IF(K305&lt;=Datos!$D$14,(K305*Datos!$C$14)))</f>
        <v>1004.5</v>
      </c>
      <c r="M305" s="284">
        <f>IF(K305&gt;=Datos!$D$15,(Datos!$D$15*Datos!$C$15),IF(K305&lt;=Datos!$D$15,(K305*Datos!$C$15)))</f>
        <v>1064</v>
      </c>
      <c r="N305" s="231"/>
      <c r="O305" s="231">
        <f t="shared" si="45"/>
        <v>32931.5</v>
      </c>
      <c r="P305" s="223">
        <f>IF(O305&lt;=Datos!$G$7,"0",IF(O305&lt;=Datos!$G$8,(O305-Datos!$F$8)*Datos!$I$6,IF(O305&lt;=Datos!$G$9,Datos!$I$8+(O305-Datos!$F$9)*Datos!$J$6,IF(O305&gt;=Datos!$F$10,(Datos!$I$8+Datos!$J$8)+(O305-Datos!$F$10)*Datos!$K$6))))-W305</f>
        <v>0</v>
      </c>
      <c r="Q305" s="231">
        <f>IFERROR(VLOOKUP(C305,[1]Hoja1!$D$5:$E$58,2,FALSE),0)</f>
        <v>0</v>
      </c>
      <c r="R305" s="234"/>
      <c r="S305" s="234"/>
      <c r="T305" s="234"/>
      <c r="U305" s="234"/>
      <c r="V305" s="234">
        <v>25</v>
      </c>
      <c r="W305" s="231"/>
      <c r="X305" s="234">
        <f t="shared" si="41"/>
        <v>2093.5</v>
      </c>
      <c r="Y305" s="234">
        <f t="shared" si="37"/>
        <v>32906.5</v>
      </c>
      <c r="Z305" s="296"/>
      <c r="AA305" s="298">
        <v>44866</v>
      </c>
      <c r="AB305" s="235"/>
      <c r="AC305" s="264"/>
    </row>
    <row r="306" spans="1:29" s="236" customFormat="1" x14ac:dyDescent="0.25">
      <c r="A306" s="232"/>
      <c r="B306" s="302">
        <v>300</v>
      </c>
      <c r="C306" s="295" t="s">
        <v>1079</v>
      </c>
      <c r="D306" s="232" t="s">
        <v>1080</v>
      </c>
      <c r="E306" s="232" t="s">
        <v>85</v>
      </c>
      <c r="F306" s="232" t="s">
        <v>87</v>
      </c>
      <c r="G306" s="295">
        <v>5</v>
      </c>
      <c r="H306" s="296" t="s">
        <v>1210</v>
      </c>
      <c r="I306" s="297" t="s">
        <v>1067</v>
      </c>
      <c r="J306" s="232" t="s">
        <v>1081</v>
      </c>
      <c r="K306" s="233">
        <v>35000</v>
      </c>
      <c r="L306" s="284">
        <f>IF(K306&gt;=Datos!$D$14,(Datos!$D$14*Datos!$C$14),IF(K306&lt;=Datos!$D$14,(K306*Datos!$C$14)))</f>
        <v>1004.5</v>
      </c>
      <c r="M306" s="284">
        <f>IF(K306&gt;=Datos!$D$15,(Datos!$D$15*Datos!$C$15),IF(K306&lt;=Datos!$D$15,(K306*Datos!$C$15)))</f>
        <v>1064</v>
      </c>
      <c r="N306" s="231"/>
      <c r="O306" s="231">
        <f t="shared" si="45"/>
        <v>32931.5</v>
      </c>
      <c r="P306" s="223">
        <f>IF(O306&lt;=Datos!$G$7,"0",IF(O306&lt;=Datos!$G$8,(O306-Datos!$F$8)*Datos!$I$6,IF(O306&lt;=Datos!$G$9,Datos!$I$8+(O306-Datos!$F$9)*Datos!$J$6,IF(O306&gt;=Datos!$F$10,(Datos!$I$8+Datos!$J$8)+(O306-Datos!$F$10)*Datos!$K$6))))-W306</f>
        <v>0</v>
      </c>
      <c r="Q306" s="231">
        <f>IFERROR(VLOOKUP(C306,[1]Hoja1!$D$5:$E$58,2,FALSE),0)</f>
        <v>0</v>
      </c>
      <c r="R306" s="234"/>
      <c r="S306" s="234"/>
      <c r="T306" s="234"/>
      <c r="U306" s="234"/>
      <c r="V306" s="234">
        <v>25</v>
      </c>
      <c r="W306" s="231"/>
      <c r="X306" s="234">
        <f t="shared" si="41"/>
        <v>2093.5</v>
      </c>
      <c r="Y306" s="234">
        <f t="shared" si="37"/>
        <v>32906.5</v>
      </c>
      <c r="Z306" s="296"/>
      <c r="AA306" s="298">
        <v>44835</v>
      </c>
      <c r="AB306" s="235"/>
      <c r="AC306" s="264"/>
    </row>
    <row r="307" spans="1:29" s="236" customFormat="1" x14ac:dyDescent="0.25">
      <c r="A307" s="232"/>
      <c r="B307" s="302">
        <v>301</v>
      </c>
      <c r="C307" s="295" t="s">
        <v>961</v>
      </c>
      <c r="D307" s="232" t="s">
        <v>962</v>
      </c>
      <c r="E307" s="232" t="s">
        <v>85</v>
      </c>
      <c r="F307" s="232" t="s">
        <v>87</v>
      </c>
      <c r="G307" s="295">
        <v>5</v>
      </c>
      <c r="H307" s="296" t="s">
        <v>1210</v>
      </c>
      <c r="I307" s="297" t="s">
        <v>1060</v>
      </c>
      <c r="J307" s="232" t="s">
        <v>963</v>
      </c>
      <c r="K307" s="233">
        <v>60000</v>
      </c>
      <c r="L307" s="284">
        <f>IF(K307&gt;=Datos!$D$14,(Datos!$D$14*Datos!$C$14),IF(K307&lt;=Datos!$D$14,(K307*Datos!$C$14)))</f>
        <v>1722</v>
      </c>
      <c r="M307" s="284">
        <f>IF(K307&gt;=Datos!$D$15,(Datos!$D$15*Datos!$C$15),IF(K307&lt;=Datos!$D$15,(K307*Datos!$C$15)))</f>
        <v>1824</v>
      </c>
      <c r="N307" s="231"/>
      <c r="O307" s="231">
        <f t="shared" si="45"/>
        <v>56454</v>
      </c>
      <c r="P307" s="223">
        <f>IF(O307&lt;=Datos!$G$7,"0",IF(O307&lt;=Datos!$G$8,(O307-Datos!$F$8)*Datos!$I$6,IF(O307&lt;=Datos!$G$9,Datos!$I$8+(O307-Datos!$F$9)*Datos!$J$6,IF(O307&gt;=Datos!$F$10,(Datos!$I$8+Datos!$J$8)+(O307-Datos!$F$10)*Datos!$K$6))))-W307</f>
        <v>3486.6756666666661</v>
      </c>
      <c r="Q307" s="231">
        <f>IFERROR(VLOOKUP(C307,[1]Hoja1!$D$5:$E$58,2,FALSE),0)</f>
        <v>0</v>
      </c>
      <c r="R307" s="234"/>
      <c r="S307" s="234"/>
      <c r="T307" s="234"/>
      <c r="U307" s="234"/>
      <c r="V307" s="234">
        <v>25</v>
      </c>
      <c r="W307" s="231"/>
      <c r="X307" s="234">
        <f t="shared" si="41"/>
        <v>7057.6756666666661</v>
      </c>
      <c r="Y307" s="234">
        <f t="shared" si="37"/>
        <v>52942.324333333338</v>
      </c>
      <c r="Z307" s="296"/>
      <c r="AA307" s="298">
        <v>44682</v>
      </c>
      <c r="AB307" s="235"/>
      <c r="AC307" s="264"/>
    </row>
    <row r="308" spans="1:29" s="236" customFormat="1" x14ac:dyDescent="0.25">
      <c r="A308" s="232"/>
      <c r="B308" s="302">
        <v>302</v>
      </c>
      <c r="C308" s="295" t="s">
        <v>503</v>
      </c>
      <c r="D308" s="232" t="s">
        <v>743</v>
      </c>
      <c r="E308" s="232" t="s">
        <v>85</v>
      </c>
      <c r="F308" s="232" t="s">
        <v>87</v>
      </c>
      <c r="G308" s="295">
        <v>5</v>
      </c>
      <c r="H308" s="296" t="s">
        <v>1210</v>
      </c>
      <c r="I308" s="297" t="s">
        <v>1060</v>
      </c>
      <c r="J308" s="232" t="s">
        <v>944</v>
      </c>
      <c r="K308" s="233">
        <f>45500+14500+5000</f>
        <v>65000</v>
      </c>
      <c r="L308" s="284">
        <f>IF(K308&gt;=Datos!$D$14,(Datos!$D$14*Datos!$C$14),IF(K308&lt;=Datos!$D$14,(K308*Datos!$C$14)))</f>
        <v>1865.5</v>
      </c>
      <c r="M308" s="284">
        <f>IF(K308&gt;=Datos!$D$15,(Datos!$D$15*Datos!$C$15),IF(K308&lt;=Datos!$D$15,(K308*Datos!$C$15)))</f>
        <v>1976</v>
      </c>
      <c r="N308" s="231"/>
      <c r="O308" s="231">
        <f t="shared" si="45"/>
        <v>61158.5</v>
      </c>
      <c r="P308" s="223">
        <f>IF(O308&lt;=Datos!$G$7,"0",IF(O308&lt;=Datos!$G$8,(O308-Datos!$F$8)*Datos!$I$6,IF(O308&lt;=Datos!$G$9,Datos!$I$8+(O308-Datos!$F$9)*Datos!$J$6,IF(O308&gt;=Datos!$F$10,(Datos!$I$8+Datos!$J$8)+(O308-Datos!$F$10)*Datos!$K$6))))-W308</f>
        <v>4427.5756666666657</v>
      </c>
      <c r="Q308" s="231">
        <f>IFERROR(VLOOKUP(C308,[1]Hoja1!$D$5:$E$58,2,FALSE),0)</f>
        <v>0</v>
      </c>
      <c r="R308" s="234"/>
      <c r="S308" s="234"/>
      <c r="T308" s="234"/>
      <c r="U308" s="234"/>
      <c r="V308" s="234">
        <v>25</v>
      </c>
      <c r="W308" s="231"/>
      <c r="X308" s="234">
        <f t="shared" si="41"/>
        <v>8294.0756666666657</v>
      </c>
      <c r="Y308" s="234">
        <f t="shared" si="37"/>
        <v>56705.924333333336</v>
      </c>
      <c r="Z308" s="296" t="s">
        <v>265</v>
      </c>
      <c r="AA308" s="298">
        <v>44197</v>
      </c>
      <c r="AB308" s="235"/>
      <c r="AC308" s="264"/>
    </row>
    <row r="309" spans="1:29" s="236" customFormat="1" x14ac:dyDescent="0.25">
      <c r="A309" s="232"/>
      <c r="B309" s="302">
        <v>303</v>
      </c>
      <c r="C309" s="295" t="s">
        <v>1075</v>
      </c>
      <c r="D309" s="232" t="s">
        <v>1074</v>
      </c>
      <c r="E309" s="232" t="s">
        <v>85</v>
      </c>
      <c r="F309" s="232" t="s">
        <v>87</v>
      </c>
      <c r="G309" s="295">
        <v>5</v>
      </c>
      <c r="H309" s="296" t="s">
        <v>1662</v>
      </c>
      <c r="I309" s="297" t="s">
        <v>1067</v>
      </c>
      <c r="J309" s="232" t="s">
        <v>1073</v>
      </c>
      <c r="K309" s="233">
        <v>60000</v>
      </c>
      <c r="L309" s="284">
        <f>IF(K309&gt;=Datos!$D$14,(Datos!$D$14*Datos!$C$14),IF(K309&lt;=Datos!$D$14,(K309*Datos!$C$14)))</f>
        <v>1722</v>
      </c>
      <c r="M309" s="284">
        <f>IF(K309&gt;=Datos!$D$15,(Datos!$D$15*Datos!$C$15),IF(K309&lt;=Datos!$D$15,(K309*Datos!$C$15)))</f>
        <v>1824</v>
      </c>
      <c r="N309" s="231"/>
      <c r="O309" s="231">
        <f t="shared" si="45"/>
        <v>56454</v>
      </c>
      <c r="P309" s="223">
        <f>IF(O309&lt;=Datos!$G$7,"0",IF(O309&lt;=Datos!$G$8,(O309-Datos!$F$8)*Datos!$I$6,IF(O309&lt;=Datos!$G$9,Datos!$I$8+(O309-Datos!$F$9)*Datos!$J$6,IF(O309&gt;=Datos!$F$10,(Datos!$I$8+Datos!$J$8)+(O309-Datos!$F$10)*Datos!$K$6))))-W309</f>
        <v>3486.6756666666661</v>
      </c>
      <c r="Q309" s="231">
        <f>IFERROR(VLOOKUP(C309,[1]Hoja1!$D$5:$E$58,2,FALSE),0)</f>
        <v>0</v>
      </c>
      <c r="R309" s="234"/>
      <c r="S309" s="234"/>
      <c r="T309" s="234"/>
      <c r="U309" s="234"/>
      <c r="V309" s="234">
        <v>25</v>
      </c>
      <c r="W309" s="231"/>
      <c r="X309" s="234">
        <f t="shared" si="41"/>
        <v>7057.6756666666661</v>
      </c>
      <c r="Y309" s="234">
        <f t="shared" si="37"/>
        <v>52942.324333333338</v>
      </c>
      <c r="Z309" s="296"/>
      <c r="AA309" s="298">
        <v>44835</v>
      </c>
      <c r="AB309" s="235"/>
      <c r="AC309" s="264"/>
    </row>
    <row r="310" spans="1:29" s="236" customFormat="1" x14ac:dyDescent="0.25">
      <c r="A310" s="232"/>
      <c r="B310" s="302">
        <v>304</v>
      </c>
      <c r="C310" s="295" t="s">
        <v>502</v>
      </c>
      <c r="D310" s="232" t="s">
        <v>742</v>
      </c>
      <c r="E310" s="232" t="s">
        <v>85</v>
      </c>
      <c r="F310" s="232" t="s">
        <v>87</v>
      </c>
      <c r="G310" s="295">
        <v>1</v>
      </c>
      <c r="H310" s="296" t="s">
        <v>1548</v>
      </c>
      <c r="I310" s="297" t="s">
        <v>1060</v>
      </c>
      <c r="J310" s="232" t="s">
        <v>833</v>
      </c>
      <c r="K310" s="233">
        <f>13860+4140</f>
        <v>18000</v>
      </c>
      <c r="L310" s="284">
        <f>IF(K310&gt;=Datos!$D$14,(Datos!$D$14*Datos!$C$14),IF(K310&lt;=Datos!$D$14,(K310*Datos!$C$14)))</f>
        <v>516.6</v>
      </c>
      <c r="M310" s="284">
        <f>IF(K310&gt;=Datos!$D$15,(Datos!$D$15*Datos!$C$15),IF(K310&lt;=Datos!$D$15,(K310*Datos!$C$15)))</f>
        <v>547.20000000000005</v>
      </c>
      <c r="N310" s="231"/>
      <c r="O310" s="231">
        <f t="shared" si="45"/>
        <v>16936.2</v>
      </c>
      <c r="P310" s="223">
        <f>IF(O310&lt;=Datos!$G$7,"0",IF(O310&lt;=Datos!$G$8,(O310-Datos!$F$8)*Datos!$I$6,IF(O310&lt;=Datos!$G$9,Datos!$I$8+(O310-Datos!$F$9)*Datos!$J$6,IF(O310&gt;=Datos!$F$10,(Datos!$I$8+Datos!$J$8)+(O310-Datos!$F$10)*Datos!$K$6))))-W310</f>
        <v>0</v>
      </c>
      <c r="Q310" s="231">
        <f>IFERROR(VLOOKUP(C310,[1]Hoja1!$D$5:$E$58,2,FALSE),0)</f>
        <v>0</v>
      </c>
      <c r="R310" s="234"/>
      <c r="S310" s="234"/>
      <c r="T310" s="234"/>
      <c r="U310" s="234"/>
      <c r="V310" s="234">
        <v>25</v>
      </c>
      <c r="W310" s="231"/>
      <c r="X310" s="234">
        <f t="shared" si="41"/>
        <v>1088.8000000000002</v>
      </c>
      <c r="Y310" s="234">
        <f t="shared" si="37"/>
        <v>16911.2</v>
      </c>
      <c r="Z310" s="296" t="s">
        <v>264</v>
      </c>
      <c r="AA310" s="298">
        <v>44197</v>
      </c>
      <c r="AB310" s="235"/>
      <c r="AC310" s="264"/>
    </row>
    <row r="311" spans="1:29" s="236" customFormat="1" ht="19.5" customHeight="1" x14ac:dyDescent="0.25">
      <c r="A311" s="232"/>
      <c r="B311" s="302">
        <v>305</v>
      </c>
      <c r="C311" s="295" t="s">
        <v>504</v>
      </c>
      <c r="D311" s="232" t="s">
        <v>744</v>
      </c>
      <c r="E311" s="232" t="s">
        <v>85</v>
      </c>
      <c r="F311" s="232" t="s">
        <v>87</v>
      </c>
      <c r="G311" s="295">
        <v>5</v>
      </c>
      <c r="H311" s="296" t="s">
        <v>1210</v>
      </c>
      <c r="I311" s="297" t="s">
        <v>1061</v>
      </c>
      <c r="J311" s="232" t="s">
        <v>837</v>
      </c>
      <c r="K311" s="233">
        <f>57200+2800</f>
        <v>60000</v>
      </c>
      <c r="L311" s="284">
        <f>IF(K311&gt;=Datos!$D$14,(Datos!$D$14*Datos!$C$14),IF(K311&lt;=Datos!$D$14,(K311*Datos!$C$14)))</f>
        <v>1722</v>
      </c>
      <c r="M311" s="284">
        <f>IF(K311&gt;=Datos!$D$15,(Datos!$D$15*Datos!$C$15),IF(K311&lt;=Datos!$D$15,(K311*Datos!$C$15)))</f>
        <v>1824</v>
      </c>
      <c r="N311" s="231">
        <f>+N314*2</f>
        <v>3430.92</v>
      </c>
      <c r="O311" s="231">
        <f t="shared" si="45"/>
        <v>53023.08</v>
      </c>
      <c r="P311" s="223">
        <f>IF(O311&lt;=Datos!$G$7,"0",IF(O311&lt;=Datos!$G$8,(O311-Datos!$F$8)*Datos!$I$6,IF(O311&lt;=Datos!$G$9,Datos!$I$8+(O311-Datos!$F$9)*Datos!$J$6,IF(O311&gt;=Datos!$F$10,(Datos!$I$8+Datos!$J$8)+(O311-Datos!$F$10)*Datos!$K$6))))-W311</f>
        <v>2800.4916666666663</v>
      </c>
      <c r="Q311" s="231">
        <f>IFERROR(VLOOKUP(C311,[1]Hoja1!$D$5:$E$58,2,FALSE),0)</f>
        <v>0</v>
      </c>
      <c r="R311" s="234"/>
      <c r="S311" s="234"/>
      <c r="T311" s="234"/>
      <c r="U311" s="234"/>
      <c r="V311" s="234">
        <v>25</v>
      </c>
      <c r="W311" s="231"/>
      <c r="X311" s="234">
        <f t="shared" si="41"/>
        <v>9802.4116666666669</v>
      </c>
      <c r="Y311" s="234">
        <f t="shared" si="37"/>
        <v>50197.588333333333</v>
      </c>
      <c r="Z311" s="296" t="s">
        <v>266</v>
      </c>
      <c r="AA311" s="298">
        <v>44197</v>
      </c>
      <c r="AB311" s="235"/>
      <c r="AC311" s="264"/>
    </row>
    <row r="312" spans="1:29" s="236" customFormat="1" ht="19.5" customHeight="1" x14ac:dyDescent="0.25">
      <c r="A312" s="232"/>
      <c r="B312" s="302">
        <v>306</v>
      </c>
      <c r="C312" s="295" t="s">
        <v>1077</v>
      </c>
      <c r="D312" s="232" t="s">
        <v>1078</v>
      </c>
      <c r="E312" s="232" t="s">
        <v>85</v>
      </c>
      <c r="F312" s="232" t="s">
        <v>87</v>
      </c>
      <c r="G312" s="295">
        <v>4</v>
      </c>
      <c r="H312" s="296" t="s">
        <v>1209</v>
      </c>
      <c r="I312" s="297" t="s">
        <v>1067</v>
      </c>
      <c r="J312" s="232" t="s">
        <v>1314</v>
      </c>
      <c r="K312" s="233">
        <f>35000+25000</f>
        <v>60000</v>
      </c>
      <c r="L312" s="284">
        <f>IF(K312&gt;=Datos!$D$14,(Datos!$D$14*Datos!$C$14),IF(K312&lt;=Datos!$D$14,(K312*Datos!$C$14)))</f>
        <v>1722</v>
      </c>
      <c r="M312" s="284">
        <f>IF(K312&gt;=Datos!$D$15,(Datos!$D$15*Datos!$C$15),IF(K312&lt;=Datos!$D$15,(K312*Datos!$C$15)))</f>
        <v>1824</v>
      </c>
      <c r="N312" s="231"/>
      <c r="O312" s="231">
        <f t="shared" si="45"/>
        <v>56454</v>
      </c>
      <c r="P312" s="223">
        <f>IF(O312&lt;=Datos!$G$7,"0",IF(O312&lt;=Datos!$G$8,(O312-Datos!$F$8)*Datos!$I$6,IF(O312&lt;=Datos!$G$9,Datos!$I$8+(O312-Datos!$F$9)*Datos!$J$6,IF(O312&gt;=Datos!$F$10,(Datos!$I$8+Datos!$J$8)+(O312-Datos!$F$10)*Datos!$K$6))))-W312</f>
        <v>3486.6756666666661</v>
      </c>
      <c r="Q312" s="231">
        <f>IFERROR(VLOOKUP(C312,[1]Hoja1!$D$5:$E$58,2,FALSE),0)</f>
        <v>0</v>
      </c>
      <c r="R312" s="234"/>
      <c r="S312" s="234"/>
      <c r="T312" s="234"/>
      <c r="U312" s="234"/>
      <c r="V312" s="234">
        <v>25</v>
      </c>
      <c r="W312" s="231"/>
      <c r="X312" s="234">
        <f t="shared" si="41"/>
        <v>7057.6756666666661</v>
      </c>
      <c r="Y312" s="234">
        <f t="shared" si="37"/>
        <v>52942.324333333338</v>
      </c>
      <c r="Z312" s="296"/>
      <c r="AA312" s="298">
        <v>44835</v>
      </c>
      <c r="AB312" s="235"/>
      <c r="AC312" s="264"/>
    </row>
    <row r="313" spans="1:29" s="236" customFormat="1" ht="19.5" customHeight="1" x14ac:dyDescent="0.25">
      <c r="A313" s="232"/>
      <c r="B313" s="302">
        <v>307</v>
      </c>
      <c r="C313" s="295" t="s">
        <v>1312</v>
      </c>
      <c r="D313" s="232" t="s">
        <v>1313</v>
      </c>
      <c r="E313" s="232" t="s">
        <v>86</v>
      </c>
      <c r="F313" s="232" t="s">
        <v>87</v>
      </c>
      <c r="G313" s="295">
        <v>1</v>
      </c>
      <c r="H313" s="296" t="s">
        <v>1548</v>
      </c>
      <c r="I313" s="297" t="s">
        <v>1067</v>
      </c>
      <c r="J313" s="232" t="s">
        <v>842</v>
      </c>
      <c r="K313" s="233">
        <v>25000</v>
      </c>
      <c r="L313" s="284">
        <f>IF(K313&gt;=Datos!$D$14,(Datos!$D$14*Datos!$C$14),IF(K313&lt;=Datos!$D$14,(K313*Datos!$C$14)))</f>
        <v>717.5</v>
      </c>
      <c r="M313" s="284">
        <f>IF(K313&gt;=Datos!$D$15,(Datos!$D$15*Datos!$C$15),IF(K313&lt;=Datos!$D$15,(K313*Datos!$C$15)))</f>
        <v>760</v>
      </c>
      <c r="N313" s="231"/>
      <c r="O313" s="231">
        <f t="shared" si="45"/>
        <v>23522.5</v>
      </c>
      <c r="P313" s="223">
        <f>IF(O313&lt;=Datos!$G$7,"0",IF(O313&lt;=Datos!$G$8,(O313-Datos!$F$8)*Datos!$I$6,IF(O313&lt;=Datos!$G$9,Datos!$I$8+(O313-Datos!$F$9)*Datos!$J$6,IF(O313&gt;=Datos!$F$10,(Datos!$I$8+Datos!$J$8)+(O313-Datos!$F$10)*Datos!$K$6))))-W313</f>
        <v>0</v>
      </c>
      <c r="Q313" s="231">
        <v>1500</v>
      </c>
      <c r="R313" s="234"/>
      <c r="S313" s="234"/>
      <c r="T313" s="234"/>
      <c r="U313" s="234"/>
      <c r="V313" s="234">
        <v>25</v>
      </c>
      <c r="W313" s="231"/>
      <c r="X313" s="234">
        <f t="shared" si="41"/>
        <v>3002.5</v>
      </c>
      <c r="Y313" s="234">
        <f t="shared" si="37"/>
        <v>21997.5</v>
      </c>
      <c r="Z313" s="296"/>
      <c r="AA313" s="298">
        <v>45108</v>
      </c>
      <c r="AB313" s="235"/>
      <c r="AC313" s="264"/>
    </row>
    <row r="314" spans="1:29" s="236" customFormat="1" ht="19.5" customHeight="1" x14ac:dyDescent="0.25">
      <c r="A314" s="232"/>
      <c r="B314" s="302">
        <v>308</v>
      </c>
      <c r="C314" s="295" t="s">
        <v>951</v>
      </c>
      <c r="D314" s="232" t="s">
        <v>952</v>
      </c>
      <c r="E314" s="232" t="s">
        <v>85</v>
      </c>
      <c r="F314" s="232" t="s">
        <v>87</v>
      </c>
      <c r="G314" s="295">
        <v>4</v>
      </c>
      <c r="H314" s="296" t="s">
        <v>1206</v>
      </c>
      <c r="I314" s="297" t="s">
        <v>1062</v>
      </c>
      <c r="J314" s="232" t="s">
        <v>1588</v>
      </c>
      <c r="K314" s="233">
        <f>18000+17000</f>
        <v>35000</v>
      </c>
      <c r="L314" s="284">
        <f>IF(K314&gt;=Datos!$D$14,(Datos!$D$14*Datos!$C$14),IF(K314&lt;=Datos!$D$14,(K314*Datos!$C$14)))</f>
        <v>1004.5</v>
      </c>
      <c r="M314" s="284">
        <f>IF(K314&gt;=Datos!$D$15,(Datos!$D$15*Datos!$C$15),IF(K314&lt;=Datos!$D$15,(K314*Datos!$C$15)))</f>
        <v>1064</v>
      </c>
      <c r="N314" s="231">
        <v>1715.46</v>
      </c>
      <c r="O314" s="231">
        <f t="shared" si="45"/>
        <v>31216.04</v>
      </c>
      <c r="P314" s="223">
        <f>IF(O314&lt;=Datos!$G$7,"0",IF(O314&lt;=Datos!$G$8,(O314-Datos!$F$8)*Datos!$I$6,IF(O314&lt;=Datos!$G$9,Datos!$I$8+(O314-Datos!$F$9)*Datos!$J$6,IF(O314&gt;=Datos!$F$10,(Datos!$I$8+Datos!$J$8)+(O314-Datos!$F$10)*Datos!$K$6))))-W314</f>
        <v>0</v>
      </c>
      <c r="Q314" s="231">
        <f>IFERROR(VLOOKUP(C314,[1]Hoja1!$D$5:$E$58,2,FALSE),0)</f>
        <v>0</v>
      </c>
      <c r="R314" s="234"/>
      <c r="S314" s="234"/>
      <c r="T314" s="234"/>
      <c r="U314" s="234"/>
      <c r="V314" s="234">
        <v>25</v>
      </c>
      <c r="W314" s="231"/>
      <c r="X314" s="234">
        <f t="shared" si="41"/>
        <v>3808.96</v>
      </c>
      <c r="Y314" s="234">
        <f t="shared" si="37"/>
        <v>31191.040000000001</v>
      </c>
      <c r="Z314" s="296"/>
      <c r="AA314" s="298">
        <v>44682</v>
      </c>
      <c r="AB314" s="235"/>
      <c r="AC314" s="264"/>
    </row>
    <row r="315" spans="1:29" s="236" customFormat="1" ht="19.5" customHeight="1" x14ac:dyDescent="0.25">
      <c r="A315" s="232"/>
      <c r="B315" s="302">
        <v>309</v>
      </c>
      <c r="C315" s="295" t="s">
        <v>926</v>
      </c>
      <c r="D315" s="232" t="s">
        <v>927</v>
      </c>
      <c r="E315" s="232" t="s">
        <v>85</v>
      </c>
      <c r="F315" s="232" t="s">
        <v>87</v>
      </c>
      <c r="G315" s="295">
        <v>5</v>
      </c>
      <c r="H315" s="296" t="s">
        <v>1210</v>
      </c>
      <c r="I315" s="297" t="s">
        <v>1062</v>
      </c>
      <c r="J315" s="232" t="s">
        <v>1050</v>
      </c>
      <c r="K315" s="233">
        <v>60000</v>
      </c>
      <c r="L315" s="284">
        <f>IF(K315&gt;=Datos!$D$14,(Datos!$D$14*Datos!$C$14),IF(K315&lt;=Datos!$D$14,(K315*Datos!$C$14)))</f>
        <v>1722</v>
      </c>
      <c r="M315" s="284">
        <f>IF(K315&gt;=Datos!$D$15,(Datos!$D$15*Datos!$C$15),IF(K315&lt;=Datos!$D$15,(K315*Datos!$C$15)))</f>
        <v>1824</v>
      </c>
      <c r="N315" s="231">
        <v>1715.46</v>
      </c>
      <c r="O315" s="231">
        <f t="shared" si="45"/>
        <v>54738.54</v>
      </c>
      <c r="P315" s="223">
        <f>IF(O315&lt;=Datos!$G$7,"0",IF(O315&lt;=Datos!$G$8,(O315-Datos!$F$8)*Datos!$I$6,IF(O315&lt;=Datos!$G$9,Datos!$I$8+(O315-Datos!$F$9)*Datos!$J$6,IF(O315&gt;=Datos!$F$10,(Datos!$I$8+Datos!$J$8)+(O315-Datos!$F$10)*Datos!$K$6))))-W315</f>
        <v>3143.5836666666664</v>
      </c>
      <c r="Q315" s="231">
        <f>IFERROR(VLOOKUP(C315,[1]Hoja1!$D$5:$E$58,2,FALSE),0)</f>
        <v>0</v>
      </c>
      <c r="R315" s="234"/>
      <c r="S315" s="234"/>
      <c r="T315" s="234"/>
      <c r="U315" s="234"/>
      <c r="V315" s="234">
        <v>25</v>
      </c>
      <c r="W315" s="231"/>
      <c r="X315" s="234">
        <f t="shared" si="41"/>
        <v>8430.0436666666665</v>
      </c>
      <c r="Y315" s="234">
        <f t="shared" si="37"/>
        <v>51569.956333333335</v>
      </c>
      <c r="Z315" s="296"/>
      <c r="AA315" s="298">
        <v>44652</v>
      </c>
      <c r="AB315" s="235"/>
      <c r="AC315" s="264"/>
    </row>
    <row r="316" spans="1:29" s="236" customFormat="1" x14ac:dyDescent="0.25">
      <c r="A316" s="232" t="s">
        <v>1356</v>
      </c>
      <c r="B316" s="302">
        <v>310</v>
      </c>
      <c r="C316" s="295" t="s">
        <v>505</v>
      </c>
      <c r="D316" s="297" t="s">
        <v>745</v>
      </c>
      <c r="E316" s="232" t="s">
        <v>85</v>
      </c>
      <c r="F316" s="232" t="s">
        <v>87</v>
      </c>
      <c r="G316" s="295">
        <v>1</v>
      </c>
      <c r="H316" s="296" t="s">
        <v>1834</v>
      </c>
      <c r="I316" s="297" t="s">
        <v>1061</v>
      </c>
      <c r="J316" s="232" t="s">
        <v>854</v>
      </c>
      <c r="K316" s="233">
        <f>15000+11000</f>
        <v>26000</v>
      </c>
      <c r="L316" s="284">
        <f>IF(K316&gt;=Datos!$D$14,(Datos!$D$14*Datos!$C$14),IF(K316&lt;=Datos!$D$14,(K316*Datos!$C$14)))</f>
        <v>746.2</v>
      </c>
      <c r="M316" s="284">
        <f>IF(K316&gt;=Datos!$D$15,(Datos!$D$15*Datos!$C$15),IF(K316&lt;=Datos!$D$15,(K316*Datos!$C$15)))</f>
        <v>790.4</v>
      </c>
      <c r="N316" s="231"/>
      <c r="O316" s="231">
        <f t="shared" si="45"/>
        <v>24463.4</v>
      </c>
      <c r="P316" s="223">
        <f>IF(O316&lt;=Datos!$G$7,"0",IF(O316&lt;=Datos!$G$8,(O316-Datos!$F$8)*Datos!$I$6,IF(O316&lt;=Datos!$G$9,Datos!$I$8+(O316-Datos!$F$9)*Datos!$J$6,IF(O316&gt;=Datos!$F$10,(Datos!$I$8+Datos!$J$8)+(O316-Datos!$F$10)*Datos!$K$6))))-W316</f>
        <v>0</v>
      </c>
      <c r="Q316" s="231">
        <v>4000</v>
      </c>
      <c r="R316" s="234"/>
      <c r="S316" s="234"/>
      <c r="T316" s="234"/>
      <c r="U316" s="234"/>
      <c r="V316" s="234">
        <v>25</v>
      </c>
      <c r="W316" s="231"/>
      <c r="X316" s="234">
        <f t="shared" si="41"/>
        <v>5561.6</v>
      </c>
      <c r="Y316" s="234">
        <f t="shared" si="37"/>
        <v>20438.400000000001</v>
      </c>
      <c r="Z316" s="296" t="s">
        <v>267</v>
      </c>
      <c r="AA316" s="298">
        <v>44197</v>
      </c>
      <c r="AB316" s="235"/>
      <c r="AC316" s="264"/>
    </row>
    <row r="317" spans="1:29" s="236" customFormat="1" x14ac:dyDescent="0.25">
      <c r="A317" s="232"/>
      <c r="B317" s="302">
        <v>311</v>
      </c>
      <c r="C317" s="295" t="s">
        <v>506</v>
      </c>
      <c r="D317" s="232" t="s">
        <v>746</v>
      </c>
      <c r="E317" s="232" t="s">
        <v>85</v>
      </c>
      <c r="F317" s="232" t="s">
        <v>87</v>
      </c>
      <c r="G317" s="295">
        <v>1</v>
      </c>
      <c r="H317" s="296" t="s">
        <v>1827</v>
      </c>
      <c r="I317" s="297" t="s">
        <v>1067</v>
      </c>
      <c r="J317" s="232" t="s">
        <v>846</v>
      </c>
      <c r="K317" s="233">
        <v>90000</v>
      </c>
      <c r="L317" s="284">
        <f>IF(K317&gt;=Datos!$D$14,(Datos!$D$14*Datos!$C$14),IF(K317&lt;=Datos!$D$14,(K317*Datos!$C$14)))</f>
        <v>2583</v>
      </c>
      <c r="M317" s="284">
        <f>IF(K317&gt;=Datos!$D$15,(Datos!$D$15*Datos!$C$15),IF(K317&lt;=Datos!$D$15,(K317*Datos!$C$15)))</f>
        <v>2736</v>
      </c>
      <c r="N317" s="231"/>
      <c r="O317" s="231">
        <f t="shared" si="45"/>
        <v>84681</v>
      </c>
      <c r="P317" s="223">
        <f>IF(O317&lt;=Datos!$G$7,"0",IF(O317&lt;=Datos!$G$8,(O317-Datos!$F$8)*Datos!$I$6,IF(O317&lt;=Datos!$G$9,Datos!$I$8+(O317-Datos!$F$9)*Datos!$J$6,IF(O317&gt;=Datos!$F$10,(Datos!$I$8+Datos!$J$8)+(O317-Datos!$F$10)*Datos!$K$6))))-W317</f>
        <v>9753.1106666666674</v>
      </c>
      <c r="Q317" s="231">
        <f>IFERROR(VLOOKUP(C317,[1]Hoja1!$D$5:$E$58,2,FALSE),0)</f>
        <v>0</v>
      </c>
      <c r="R317" s="234"/>
      <c r="S317" s="234"/>
      <c r="T317" s="234"/>
      <c r="U317" s="234"/>
      <c r="V317" s="234">
        <v>25</v>
      </c>
      <c r="W317" s="231"/>
      <c r="X317" s="234">
        <f t="shared" si="41"/>
        <v>15097.110666666667</v>
      </c>
      <c r="Y317" s="234">
        <f t="shared" si="37"/>
        <v>74902.889333333325</v>
      </c>
      <c r="Z317" s="296" t="s">
        <v>268</v>
      </c>
      <c r="AA317" s="298">
        <v>44197</v>
      </c>
      <c r="AB317" s="235"/>
      <c r="AC317" s="264"/>
    </row>
    <row r="318" spans="1:29" s="236" customFormat="1" x14ac:dyDescent="0.25">
      <c r="A318" s="232"/>
      <c r="B318" s="302">
        <v>312</v>
      </c>
      <c r="C318" s="295" t="s">
        <v>507</v>
      </c>
      <c r="D318" s="232" t="s">
        <v>747</v>
      </c>
      <c r="E318" s="232" t="s">
        <v>85</v>
      </c>
      <c r="F318" s="232" t="s">
        <v>87</v>
      </c>
      <c r="G318" s="295">
        <v>5</v>
      </c>
      <c r="H318" s="296" t="s">
        <v>1662</v>
      </c>
      <c r="I318" s="297" t="s">
        <v>1062</v>
      </c>
      <c r="J318" s="232" t="s">
        <v>837</v>
      </c>
      <c r="K318" s="233">
        <f>45000+20000</f>
        <v>65000</v>
      </c>
      <c r="L318" s="284">
        <f>IF(K318&gt;=Datos!$D$14,(Datos!$D$14*Datos!$C$14),IF(K318&lt;=Datos!$D$14,(K318*Datos!$C$14)))</f>
        <v>1865.5</v>
      </c>
      <c r="M318" s="284">
        <f>IF(K318&gt;=Datos!$D$15,(Datos!$D$15*Datos!$C$15),IF(K318&lt;=Datos!$D$15,(K318*Datos!$C$15)))</f>
        <v>1976</v>
      </c>
      <c r="N318" s="231"/>
      <c r="O318" s="231">
        <f t="shared" si="45"/>
        <v>61158.5</v>
      </c>
      <c r="P318" s="223">
        <f>IF(O318&lt;=Datos!$G$7,"0",IF(O318&lt;=Datos!$G$8,(O318-Datos!$F$8)*Datos!$I$6,IF(O318&lt;=Datos!$G$9,Datos!$I$8+(O318-Datos!$F$9)*Datos!$J$6,IF(O318&gt;=Datos!$F$10,(Datos!$I$8+Datos!$J$8)+(O318-Datos!$F$10)*Datos!$K$6))))-W318</f>
        <v>4427.5756666666657</v>
      </c>
      <c r="Q318" s="231">
        <f>IFERROR(VLOOKUP(C318,[1]Hoja1!$D$5:$E$58,2,FALSE),0)</f>
        <v>0</v>
      </c>
      <c r="R318" s="234"/>
      <c r="S318" s="234"/>
      <c r="T318" s="234"/>
      <c r="U318" s="234"/>
      <c r="V318" s="234">
        <v>25</v>
      </c>
      <c r="W318" s="231"/>
      <c r="X318" s="234">
        <f t="shared" si="41"/>
        <v>8294.0756666666657</v>
      </c>
      <c r="Y318" s="234">
        <f t="shared" si="37"/>
        <v>56705.924333333336</v>
      </c>
      <c r="Z318" s="296" t="s">
        <v>269</v>
      </c>
      <c r="AA318" s="298">
        <v>44197</v>
      </c>
      <c r="AB318" s="235"/>
      <c r="AC318" s="264"/>
    </row>
    <row r="319" spans="1:29" s="236" customFormat="1" x14ac:dyDescent="0.25">
      <c r="A319" s="232"/>
      <c r="B319" s="302">
        <v>313</v>
      </c>
      <c r="C319" s="295" t="s">
        <v>998</v>
      </c>
      <c r="D319" s="232" t="s">
        <v>997</v>
      </c>
      <c r="E319" s="232" t="s">
        <v>86</v>
      </c>
      <c r="F319" s="232" t="s">
        <v>87</v>
      </c>
      <c r="G319" s="295">
        <v>1</v>
      </c>
      <c r="H319" s="296" t="s">
        <v>1548</v>
      </c>
      <c r="I319" s="297" t="s">
        <v>1187</v>
      </c>
      <c r="J319" s="232" t="s">
        <v>842</v>
      </c>
      <c r="K319" s="233">
        <v>25000</v>
      </c>
      <c r="L319" s="284">
        <f>IF(K319&gt;=Datos!$D$14,(Datos!$D$14*Datos!$C$14),IF(K319&lt;=Datos!$D$14,(K319*Datos!$C$14)))</f>
        <v>717.5</v>
      </c>
      <c r="M319" s="284">
        <f>IF(K319&gt;=Datos!$D$15,(Datos!$D$15*Datos!$C$15),IF(K319&lt;=Datos!$D$15,(K319*Datos!$C$15)))</f>
        <v>760</v>
      </c>
      <c r="N319" s="231"/>
      <c r="O319" s="231">
        <f t="shared" si="45"/>
        <v>23522.5</v>
      </c>
      <c r="P319" s="223">
        <f>IF(O319&lt;=Datos!$G$7,"0",IF(O319&lt;=Datos!$G$8,(O319-Datos!$F$8)*Datos!$I$6,IF(O319&lt;=Datos!$G$9,Datos!$I$8+(O319-Datos!$F$9)*Datos!$J$6,IF(O319&gt;=Datos!$F$10,(Datos!$I$8+Datos!$J$8)+(O319-Datos!$F$10)*Datos!$K$6))))-W319</f>
        <v>0</v>
      </c>
      <c r="Q319" s="231">
        <f>IFERROR(VLOOKUP(C319,[1]Hoja1!$D$5:$E$58,2,FALSE),0)</f>
        <v>0</v>
      </c>
      <c r="R319" s="234"/>
      <c r="S319" s="234"/>
      <c r="T319" s="234"/>
      <c r="U319" s="234"/>
      <c r="V319" s="234">
        <v>25</v>
      </c>
      <c r="W319" s="231"/>
      <c r="X319" s="234">
        <f t="shared" si="41"/>
        <v>1502.5</v>
      </c>
      <c r="Y319" s="234">
        <f t="shared" si="37"/>
        <v>23497.5</v>
      </c>
      <c r="Z319" s="296"/>
      <c r="AA319" s="298">
        <v>44743</v>
      </c>
      <c r="AB319" s="235"/>
      <c r="AC319" s="264"/>
    </row>
    <row r="320" spans="1:29" s="236" customFormat="1" x14ac:dyDescent="0.25">
      <c r="A320" s="232"/>
      <c r="B320" s="302">
        <v>314</v>
      </c>
      <c r="C320" s="295" t="s">
        <v>508</v>
      </c>
      <c r="D320" s="297" t="s">
        <v>748</v>
      </c>
      <c r="E320" s="232" t="s">
        <v>85</v>
      </c>
      <c r="F320" s="232" t="s">
        <v>87</v>
      </c>
      <c r="G320" s="295">
        <v>1</v>
      </c>
      <c r="H320" s="296" t="s">
        <v>1213</v>
      </c>
      <c r="I320" s="297" t="s">
        <v>1061</v>
      </c>
      <c r="J320" s="232" t="s">
        <v>846</v>
      </c>
      <c r="K320" s="233">
        <v>70000</v>
      </c>
      <c r="L320" s="284">
        <f>IF(K320&gt;=Datos!$D$14,(Datos!$D$14*Datos!$C$14),IF(K320&lt;=Datos!$D$14,(K320*Datos!$C$14)))</f>
        <v>2009</v>
      </c>
      <c r="M320" s="284">
        <f>IF(K320&gt;=Datos!$D$15,(Datos!$D$15*Datos!$C$15),IF(K320&lt;=Datos!$D$15,(K320*Datos!$C$15)))</f>
        <v>2128</v>
      </c>
      <c r="N320" s="231">
        <v>1715.46</v>
      </c>
      <c r="O320" s="231">
        <f t="shared" si="45"/>
        <v>64147.54</v>
      </c>
      <c r="P320" s="223">
        <f>IF(O320&lt;=Datos!$G$7,"0",IF(O320&lt;=Datos!$G$8,(O320-Datos!$F$8)*Datos!$I$6,IF(O320&lt;=Datos!$G$9,Datos!$I$8+(O320-Datos!$F$9)*Datos!$J$6,IF(O320&gt;=Datos!$F$10,(Datos!$I$8+Datos!$J$8)+(O320-Datos!$F$10)*Datos!$K$6))))-W320</f>
        <v>5025.3836666666666</v>
      </c>
      <c r="Q320" s="231">
        <v>2000</v>
      </c>
      <c r="R320" s="234"/>
      <c r="S320" s="234"/>
      <c r="T320" s="234"/>
      <c r="U320" s="234"/>
      <c r="V320" s="234">
        <v>25</v>
      </c>
      <c r="W320" s="231"/>
      <c r="X320" s="234">
        <f t="shared" si="41"/>
        <v>12902.843666666668</v>
      </c>
      <c r="Y320" s="234">
        <f t="shared" si="37"/>
        <v>57097.156333333332</v>
      </c>
      <c r="Z320" s="296" t="s">
        <v>270</v>
      </c>
      <c r="AA320" s="298">
        <v>44197</v>
      </c>
      <c r="AB320" s="235"/>
      <c r="AC320" s="264"/>
    </row>
    <row r="321" spans="1:29" s="236" customFormat="1" x14ac:dyDescent="0.25">
      <c r="A321" s="232"/>
      <c r="B321" s="302">
        <v>315</v>
      </c>
      <c r="C321" s="295" t="s">
        <v>509</v>
      </c>
      <c r="D321" s="232" t="s">
        <v>749</v>
      </c>
      <c r="E321" s="232" t="s">
        <v>85</v>
      </c>
      <c r="F321" s="232" t="s">
        <v>87</v>
      </c>
      <c r="G321" s="295">
        <v>1</v>
      </c>
      <c r="H321" s="296" t="s">
        <v>1502</v>
      </c>
      <c r="I321" s="297" t="s">
        <v>1060</v>
      </c>
      <c r="J321" s="232" t="s">
        <v>830</v>
      </c>
      <c r="K321" s="233">
        <v>48510</v>
      </c>
      <c r="L321" s="284">
        <f>IF(K321&gt;=Datos!$D$14,(Datos!$D$14*Datos!$C$14),IF(K321&lt;=Datos!$D$14,(K321*Datos!$C$14)))</f>
        <v>1392.2370000000001</v>
      </c>
      <c r="M321" s="284">
        <f>IF(K321&gt;=Datos!$D$15,(Datos!$D$15*Datos!$C$15),IF(K321&lt;=Datos!$D$15,(K321*Datos!$C$15)))</f>
        <v>1474.704</v>
      </c>
      <c r="N321" s="231"/>
      <c r="O321" s="231">
        <f t="shared" si="45"/>
        <v>45643.059000000001</v>
      </c>
      <c r="P321" s="223">
        <f>IF(O321&lt;=Datos!$G$7,"0",IF(O321&lt;=Datos!$G$8,(O321-Datos!$F$8)*Datos!$I$6,IF(O321&lt;=Datos!$G$9,Datos!$I$8+(O321-Datos!$F$9)*Datos!$J$6,IF(O321&gt;=Datos!$F$10,(Datos!$I$8+Datos!$J$8)+(O321-Datos!$F$10)*Datos!$K$6))))-W321</f>
        <v>1643.7073499999999</v>
      </c>
      <c r="Q321" s="231">
        <f>IFERROR(VLOOKUP(C321,[1]Hoja1!$D$5:$E$58,2,FALSE),0)</f>
        <v>0</v>
      </c>
      <c r="R321" s="234"/>
      <c r="S321" s="234"/>
      <c r="T321" s="234"/>
      <c r="U321" s="234"/>
      <c r="V321" s="234">
        <v>25</v>
      </c>
      <c r="W321" s="231"/>
      <c r="X321" s="234">
        <f t="shared" si="41"/>
        <v>4535.6483499999995</v>
      </c>
      <c r="Y321" s="234">
        <f t="shared" si="37"/>
        <v>43974.351649999997</v>
      </c>
      <c r="Z321" s="296" t="s">
        <v>271</v>
      </c>
      <c r="AA321" s="298">
        <v>44197</v>
      </c>
      <c r="AB321" s="235"/>
      <c r="AC321" s="264"/>
    </row>
    <row r="322" spans="1:29" s="236" customFormat="1" x14ac:dyDescent="0.25">
      <c r="A322" s="232"/>
      <c r="B322" s="302">
        <v>316</v>
      </c>
      <c r="C322" s="295" t="s">
        <v>1655</v>
      </c>
      <c r="D322" s="232" t="s">
        <v>1656</v>
      </c>
      <c r="E322" s="232" t="s">
        <v>85</v>
      </c>
      <c r="F322" s="232" t="s">
        <v>87</v>
      </c>
      <c r="G322" s="295">
        <v>1</v>
      </c>
      <c r="H322" s="296" t="s">
        <v>1379</v>
      </c>
      <c r="I322" s="297" t="s">
        <v>1067</v>
      </c>
      <c r="J322" s="232" t="s">
        <v>1474</v>
      </c>
      <c r="K322" s="233">
        <v>26000</v>
      </c>
      <c r="L322" s="284">
        <f>IF(K322&gt;=Datos!$D$14,(Datos!$D$14*Datos!$C$14),IF(K322&lt;=Datos!$D$14,(K322*Datos!$C$14)))</f>
        <v>746.2</v>
      </c>
      <c r="M322" s="284">
        <f>IF(K322&gt;=Datos!$D$15,(Datos!$D$15*Datos!$C$15),IF(K322&lt;=Datos!$D$15,(K322*Datos!$C$15)))</f>
        <v>790.4</v>
      </c>
      <c r="N322" s="231"/>
      <c r="O322" s="231">
        <f t="shared" si="45"/>
        <v>24463.4</v>
      </c>
      <c r="P322" s="223">
        <f>IF(O322&lt;=Datos!$G$7,"0",IF(O322&lt;=Datos!$G$8,(O322-Datos!$F$8)*Datos!$I$6,IF(O322&lt;=Datos!$G$9,Datos!$I$8+(O322-Datos!$F$9)*Datos!$J$6,IF(O322&gt;=Datos!$F$10,(Datos!$I$8+Datos!$J$8)+(O322-Datos!$F$10)*Datos!$K$6))))-W322</f>
        <v>0</v>
      </c>
      <c r="Q322" s="231">
        <v>0</v>
      </c>
      <c r="R322" s="234"/>
      <c r="S322" s="234"/>
      <c r="T322" s="234"/>
      <c r="U322" s="234"/>
      <c r="V322" s="234">
        <v>25</v>
      </c>
      <c r="W322" s="231"/>
      <c r="X322" s="234">
        <f t="shared" si="41"/>
        <v>1561.6</v>
      </c>
      <c r="Y322" s="234">
        <f t="shared" si="37"/>
        <v>24438.400000000001</v>
      </c>
      <c r="Z322" s="296">
        <v>9607479171</v>
      </c>
      <c r="AA322" s="298">
        <v>45536</v>
      </c>
      <c r="AB322" s="235"/>
      <c r="AC322" s="264"/>
    </row>
    <row r="323" spans="1:29" s="236" customFormat="1" x14ac:dyDescent="0.25">
      <c r="A323" s="232"/>
      <c r="B323" s="302">
        <v>317</v>
      </c>
      <c r="C323" s="295" t="s">
        <v>1512</v>
      </c>
      <c r="D323" s="232" t="s">
        <v>1513</v>
      </c>
      <c r="E323" s="232" t="s">
        <v>85</v>
      </c>
      <c r="F323" s="232" t="s">
        <v>87</v>
      </c>
      <c r="G323" s="295">
        <v>1</v>
      </c>
      <c r="H323" s="296" t="s">
        <v>1514</v>
      </c>
      <c r="I323" s="297" t="s">
        <v>1060</v>
      </c>
      <c r="J323" s="232" t="s">
        <v>856</v>
      </c>
      <c r="K323" s="233">
        <v>150000</v>
      </c>
      <c r="L323" s="284">
        <f>IF(K323&gt;=Datos!$D$14,(Datos!$D$14*Datos!$C$14),IF(K323&lt;=Datos!$D$14,(K323*Datos!$C$14)))</f>
        <v>4305</v>
      </c>
      <c r="M323" s="284">
        <f>IF(K323&gt;=Datos!$D$15,(Datos!$D$15*Datos!$C$15),IF(K323&lt;=Datos!$D$15,(K323*Datos!$C$15)))</f>
        <v>4560</v>
      </c>
      <c r="N323" s="231"/>
      <c r="O323" s="231">
        <f t="shared" si="45"/>
        <v>141135</v>
      </c>
      <c r="P323" s="223">
        <f>IF(O323&lt;=Datos!$G$7,"0",IF(O323&lt;=Datos!$G$8,(O323-Datos!$F$8)*Datos!$I$6,IF(O323&lt;=Datos!$G$9,Datos!$I$8+(O323-Datos!$F$9)*Datos!$J$6,IF(O323&gt;=Datos!$F$10,(Datos!$I$8+Datos!$J$8)+(O323-Datos!$F$10)*Datos!$K$6))))-W323</f>
        <v>23866.610666666667</v>
      </c>
      <c r="Q323" s="231">
        <f>IFERROR(VLOOKUP(C323,[1]Hoja1!$D$5:$E$58,2,FALSE),0)</f>
        <v>0</v>
      </c>
      <c r="R323" s="234"/>
      <c r="S323" s="234"/>
      <c r="T323" s="234"/>
      <c r="U323" s="234"/>
      <c r="V323" s="234">
        <v>25</v>
      </c>
      <c r="W323" s="231"/>
      <c r="X323" s="234">
        <f t="shared" si="41"/>
        <v>32756.610666666667</v>
      </c>
      <c r="Y323" s="234">
        <f t="shared" si="37"/>
        <v>117243.38933333333</v>
      </c>
      <c r="Z323" s="296"/>
      <c r="AA323" s="298"/>
      <c r="AB323" s="235"/>
      <c r="AC323" s="264"/>
    </row>
    <row r="324" spans="1:29" s="236" customFormat="1" x14ac:dyDescent="0.25">
      <c r="A324" s="232"/>
      <c r="B324" s="302">
        <v>318</v>
      </c>
      <c r="C324" s="295" t="s">
        <v>510</v>
      </c>
      <c r="D324" s="232" t="s">
        <v>750</v>
      </c>
      <c r="E324" s="232" t="s">
        <v>85</v>
      </c>
      <c r="F324" s="232" t="s">
        <v>87</v>
      </c>
      <c r="G324" s="295">
        <v>1</v>
      </c>
      <c r="H324" s="296" t="s">
        <v>1222</v>
      </c>
      <c r="I324" s="297" t="s">
        <v>1067</v>
      </c>
      <c r="J324" s="232" t="s">
        <v>856</v>
      </c>
      <c r="K324" s="233">
        <f>65000+85000+20000</f>
        <v>170000</v>
      </c>
      <c r="L324" s="284">
        <f>IF(K324&gt;=Datos!$D$14,(Datos!$D$14*Datos!$C$14),IF(K324&lt;=Datos!$D$14,(K324*Datos!$C$14)))</f>
        <v>4879</v>
      </c>
      <c r="M324" s="284">
        <f>IF(K324&gt;=Datos!$D$15,(Datos!$D$15*Datos!$C$15),IF(K324&lt;=Datos!$D$15,(K324*Datos!$C$15)))</f>
        <v>5168</v>
      </c>
      <c r="N324" s="231"/>
      <c r="O324" s="231">
        <f t="shared" si="45"/>
        <v>159953</v>
      </c>
      <c r="P324" s="223">
        <f>IF(O324&lt;=Datos!$G$7,"0",IF(O324&lt;=Datos!$G$8,(O324-Datos!$F$8)*Datos!$I$6,IF(O324&lt;=Datos!$G$9,Datos!$I$8+(O324-Datos!$F$9)*Datos!$J$6,IF(O324&gt;=Datos!$F$10,(Datos!$I$8+Datos!$J$8)+(O324-Datos!$F$10)*Datos!$K$6))))-W324</f>
        <v>28571.110666666667</v>
      </c>
      <c r="Q324" s="231">
        <f>IFERROR(VLOOKUP(C324,[1]Hoja1!$D$5:$E$58,2,FALSE),0)</f>
        <v>0</v>
      </c>
      <c r="R324" s="234"/>
      <c r="S324" s="234"/>
      <c r="T324" s="234"/>
      <c r="U324" s="234"/>
      <c r="V324" s="234">
        <v>25</v>
      </c>
      <c r="W324" s="231"/>
      <c r="X324" s="234">
        <f t="shared" si="41"/>
        <v>38643.110666666667</v>
      </c>
      <c r="Y324" s="234">
        <f t="shared" si="37"/>
        <v>131356.88933333333</v>
      </c>
      <c r="Z324" s="296" t="s">
        <v>272</v>
      </c>
      <c r="AA324" s="298">
        <v>44197</v>
      </c>
      <c r="AB324" s="235"/>
      <c r="AC324" s="264"/>
    </row>
    <row r="325" spans="1:29" s="236" customFormat="1" x14ac:dyDescent="0.25">
      <c r="A325" s="232"/>
      <c r="B325" s="302">
        <v>319</v>
      </c>
      <c r="C325" s="295" t="s">
        <v>1265</v>
      </c>
      <c r="D325" s="297" t="s">
        <v>1266</v>
      </c>
      <c r="E325" s="232" t="s">
        <v>85</v>
      </c>
      <c r="F325" s="232" t="s">
        <v>87</v>
      </c>
      <c r="G325" s="295">
        <v>5</v>
      </c>
      <c r="H325" s="296" t="s">
        <v>1210</v>
      </c>
      <c r="I325" s="297" t="s">
        <v>1067</v>
      </c>
      <c r="J325" s="232" t="s">
        <v>960</v>
      </c>
      <c r="K325" s="233">
        <v>60000</v>
      </c>
      <c r="L325" s="284">
        <f>IF(K325&gt;=Datos!$D$14,(Datos!$D$14*Datos!$C$14),IF(K325&lt;=Datos!$D$14,(K325*Datos!$C$14)))</f>
        <v>1722</v>
      </c>
      <c r="M325" s="284">
        <f>IF(K325&gt;=Datos!$D$15,(Datos!$D$15*Datos!$C$15),IF(K325&lt;=Datos!$D$15,(K325*Datos!$C$15)))</f>
        <v>1824</v>
      </c>
      <c r="N325" s="231"/>
      <c r="O325" s="231">
        <f t="shared" si="45"/>
        <v>56454</v>
      </c>
      <c r="P325" s="223">
        <f>IF(O325&lt;=Datos!$G$7,"0",IF(O325&lt;=Datos!$G$8,(O325-Datos!$F$8)*Datos!$I$6,IF(O325&lt;=Datos!$G$9,Datos!$I$8+(O325-Datos!$F$9)*Datos!$J$6,IF(O325&gt;=Datos!$F$10,(Datos!$I$8+Datos!$J$8)+(O325-Datos!$F$10)*Datos!$K$6))))-W325</f>
        <v>3486.6756666666661</v>
      </c>
      <c r="Q325" s="231">
        <f>IFERROR(VLOOKUP(C325,[1]Hoja1!$D$5:$E$58,2,FALSE),0)</f>
        <v>0</v>
      </c>
      <c r="R325" s="234"/>
      <c r="S325" s="234"/>
      <c r="T325" s="234"/>
      <c r="U325" s="234"/>
      <c r="V325" s="234">
        <v>25</v>
      </c>
      <c r="W325" s="231"/>
      <c r="X325" s="234">
        <f t="shared" si="41"/>
        <v>7057.6756666666661</v>
      </c>
      <c r="Y325" s="234">
        <f t="shared" si="37"/>
        <v>52942.324333333338</v>
      </c>
      <c r="Z325" s="296" t="s">
        <v>1267</v>
      </c>
      <c r="AA325" s="298">
        <v>45047</v>
      </c>
      <c r="AB325" s="235"/>
      <c r="AC325" s="264"/>
    </row>
    <row r="326" spans="1:29" s="236" customFormat="1" x14ac:dyDescent="0.25">
      <c r="A326" s="232"/>
      <c r="B326" s="302">
        <v>320</v>
      </c>
      <c r="C326" s="295" t="s">
        <v>511</v>
      </c>
      <c r="D326" s="232" t="s">
        <v>751</v>
      </c>
      <c r="E326" s="232" t="s">
        <v>85</v>
      </c>
      <c r="F326" s="232" t="s">
        <v>87</v>
      </c>
      <c r="G326" s="295">
        <v>1</v>
      </c>
      <c r="H326" s="296" t="s">
        <v>1502</v>
      </c>
      <c r="I326" s="297" t="s">
        <v>1060</v>
      </c>
      <c r="J326" s="232" t="s">
        <v>830</v>
      </c>
      <c r="K326" s="233">
        <v>42446</v>
      </c>
      <c r="L326" s="284">
        <f>IF(K326&gt;=Datos!$D$14,(Datos!$D$14*Datos!$C$14),IF(K326&lt;=Datos!$D$14,(K326*Datos!$C$14)))</f>
        <v>1218.2002</v>
      </c>
      <c r="M326" s="284">
        <f>IF(K326&gt;=Datos!$D$15,(Datos!$D$15*Datos!$C$15),IF(K326&lt;=Datos!$D$15,(K326*Datos!$C$15)))</f>
        <v>1290.3584000000001</v>
      </c>
      <c r="N326" s="231">
        <v>1715.46</v>
      </c>
      <c r="O326" s="231">
        <f t="shared" si="45"/>
        <v>38221.981399999997</v>
      </c>
      <c r="P326" s="223">
        <f>IF(O326&lt;=Datos!$G$7,"0",IF(O326&lt;=Datos!$G$8,(O326-Datos!$F$8)*Datos!$I$6,IF(O326&lt;=Datos!$G$9,Datos!$I$8+(O326-Datos!$F$9)*Datos!$J$6,IF(O326&gt;=Datos!$F$10,(Datos!$I$8+Datos!$J$8)+(O326-Datos!$F$10)*Datos!$K$6))))-W326</f>
        <v>530.54570999999919</v>
      </c>
      <c r="Q326" s="231">
        <f>IFERROR(VLOOKUP(C326,[1]Hoja1!$D$5:$E$58,2,FALSE),0)</f>
        <v>0</v>
      </c>
      <c r="R326" s="234"/>
      <c r="S326" s="234"/>
      <c r="T326" s="234"/>
      <c r="U326" s="234"/>
      <c r="V326" s="234">
        <v>25</v>
      </c>
      <c r="W326" s="231"/>
      <c r="X326" s="234">
        <f t="shared" si="41"/>
        <v>4779.5643099999998</v>
      </c>
      <c r="Y326" s="234">
        <f t="shared" si="37"/>
        <v>37666.435689999998</v>
      </c>
      <c r="Z326" s="296" t="s">
        <v>273</v>
      </c>
      <c r="AA326" s="298">
        <v>44197</v>
      </c>
      <c r="AB326" s="235"/>
      <c r="AC326" s="264"/>
    </row>
    <row r="327" spans="1:29" s="236" customFormat="1" x14ac:dyDescent="0.25">
      <c r="A327" s="232"/>
      <c r="B327" s="302">
        <v>321</v>
      </c>
      <c r="C327" s="295" t="s">
        <v>512</v>
      </c>
      <c r="D327" s="232" t="s">
        <v>752</v>
      </c>
      <c r="E327" s="232" t="s">
        <v>86</v>
      </c>
      <c r="F327" s="232" t="s">
        <v>87</v>
      </c>
      <c r="G327" s="295">
        <v>1</v>
      </c>
      <c r="H327" s="296" t="s">
        <v>1828</v>
      </c>
      <c r="I327" s="297" t="s">
        <v>1060</v>
      </c>
      <c r="J327" s="232" t="s">
        <v>844</v>
      </c>
      <c r="K327" s="233">
        <f>18000+4500</f>
        <v>22500</v>
      </c>
      <c r="L327" s="284">
        <f>IF(K327&gt;=Datos!$D$14,(Datos!$D$14*Datos!$C$14),IF(K327&lt;=Datos!$D$14,(K327*Datos!$C$14)))</f>
        <v>645.75</v>
      </c>
      <c r="M327" s="284">
        <f>IF(K327&gt;=Datos!$D$15,(Datos!$D$15*Datos!$C$15),IF(K327&lt;=Datos!$D$15,(K327*Datos!$C$15)))</f>
        <v>684</v>
      </c>
      <c r="N327" s="231"/>
      <c r="O327" s="231">
        <f t="shared" si="45"/>
        <v>21170.25</v>
      </c>
      <c r="P327" s="223">
        <f>IF(O327&lt;=Datos!$G$7,"0",IF(O327&lt;=Datos!$G$8,(O327-Datos!$F$8)*Datos!$I$6,IF(O327&lt;=Datos!$G$9,Datos!$I$8+(O327-Datos!$F$9)*Datos!$J$6,IF(O327&gt;=Datos!$F$10,(Datos!$I$8+Datos!$J$8)+(O327-Datos!$F$10)*Datos!$K$6))))-W327</f>
        <v>0</v>
      </c>
      <c r="Q327" s="231">
        <f>IFERROR(VLOOKUP(C327,[1]Hoja1!$D$5:$E$58,2,FALSE),0)</f>
        <v>0</v>
      </c>
      <c r="R327" s="234"/>
      <c r="S327" s="234"/>
      <c r="T327" s="234"/>
      <c r="U327" s="234"/>
      <c r="V327" s="234">
        <v>25</v>
      </c>
      <c r="W327" s="231"/>
      <c r="X327" s="234">
        <f t="shared" si="41"/>
        <v>1354.75</v>
      </c>
      <c r="Y327" s="234">
        <f t="shared" si="37"/>
        <v>21145.25</v>
      </c>
      <c r="Z327" s="296" t="s">
        <v>274</v>
      </c>
      <c r="AA327" s="298">
        <v>44197</v>
      </c>
      <c r="AB327" s="235"/>
      <c r="AC327" s="264"/>
    </row>
    <row r="328" spans="1:29" s="236" customFormat="1" x14ac:dyDescent="0.25">
      <c r="A328" s="232"/>
      <c r="B328" s="302">
        <v>322</v>
      </c>
      <c r="C328" s="295" t="s">
        <v>513</v>
      </c>
      <c r="D328" s="232" t="s">
        <v>753</v>
      </c>
      <c r="E328" s="232" t="s">
        <v>85</v>
      </c>
      <c r="F328" s="232" t="s">
        <v>87</v>
      </c>
      <c r="G328" s="295">
        <v>1</v>
      </c>
      <c r="H328" s="296" t="s">
        <v>1548</v>
      </c>
      <c r="I328" s="297" t="s">
        <v>1060</v>
      </c>
      <c r="J328" s="232" t="s">
        <v>833</v>
      </c>
      <c r="K328" s="233">
        <f>13860+4140</f>
        <v>18000</v>
      </c>
      <c r="L328" s="284">
        <f>IF(K328&gt;=Datos!$D$14,(Datos!$D$14*Datos!$C$14),IF(K328&lt;=Datos!$D$14,(K328*Datos!$C$14)))</f>
        <v>516.6</v>
      </c>
      <c r="M328" s="284">
        <f>IF(K328&gt;=Datos!$D$15,(Datos!$D$15*Datos!$C$15),IF(K328&lt;=Datos!$D$15,(K328*Datos!$C$15)))</f>
        <v>547.20000000000005</v>
      </c>
      <c r="N328" s="231"/>
      <c r="O328" s="231">
        <f t="shared" si="45"/>
        <v>16936.2</v>
      </c>
      <c r="P328" s="223">
        <f>IF(O328&lt;=Datos!$G$7,"0",IF(O328&lt;=Datos!$G$8,(O328-Datos!$F$8)*Datos!$I$6,IF(O328&lt;=Datos!$G$9,Datos!$I$8+(O328-Datos!$F$9)*Datos!$J$6,IF(O328&gt;=Datos!$F$10,(Datos!$I$8+Datos!$J$8)+(O328-Datos!$F$10)*Datos!$K$6))))-W328</f>
        <v>0</v>
      </c>
      <c r="Q328" s="231">
        <v>0</v>
      </c>
      <c r="R328" s="234"/>
      <c r="S328" s="234"/>
      <c r="T328" s="234"/>
      <c r="U328" s="234"/>
      <c r="V328" s="234">
        <v>25</v>
      </c>
      <c r="W328" s="231"/>
      <c r="X328" s="234">
        <f t="shared" si="41"/>
        <v>1088.8000000000002</v>
      </c>
      <c r="Y328" s="234">
        <f t="shared" si="37"/>
        <v>16911.2</v>
      </c>
      <c r="Z328" s="296" t="s">
        <v>275</v>
      </c>
      <c r="AA328" s="298">
        <v>44197</v>
      </c>
      <c r="AB328" s="235"/>
      <c r="AC328" s="264"/>
    </row>
    <row r="329" spans="1:29" s="236" customFormat="1" x14ac:dyDescent="0.25">
      <c r="A329" s="232"/>
      <c r="B329" s="302">
        <v>323</v>
      </c>
      <c r="C329" s="295" t="s">
        <v>1364</v>
      </c>
      <c r="D329" s="232" t="s">
        <v>1382</v>
      </c>
      <c r="E329" s="232" t="s">
        <v>85</v>
      </c>
      <c r="F329" s="232" t="s">
        <v>87</v>
      </c>
      <c r="G329" s="295">
        <v>5</v>
      </c>
      <c r="H329" s="296" t="s">
        <v>1383</v>
      </c>
      <c r="I329" s="297" t="s">
        <v>1062</v>
      </c>
      <c r="J329" s="232" t="s">
        <v>1384</v>
      </c>
      <c r="K329" s="233">
        <v>60000</v>
      </c>
      <c r="L329" s="284">
        <f>IF(K329&gt;=Datos!$D$14,(Datos!$D$14*Datos!$C$14),IF(K329&lt;=Datos!$D$14,(K329*Datos!$C$14)))</f>
        <v>1722</v>
      </c>
      <c r="M329" s="284">
        <f>IF(K329&gt;=Datos!$D$15,(Datos!$D$15*Datos!$C$15),IF(K329&lt;=Datos!$D$15,(K329*Datos!$C$15)))</f>
        <v>1824</v>
      </c>
      <c r="N329" s="231">
        <v>1715.46</v>
      </c>
      <c r="O329" s="231">
        <f t="shared" si="45"/>
        <v>54738.54</v>
      </c>
      <c r="P329" s="223">
        <f>IF(O329&lt;=Datos!$G$7,"0",IF(O329&lt;=Datos!$G$8,(O329-Datos!$F$8)*Datos!$I$6,IF(O329&lt;=Datos!$G$9,Datos!$I$8+(O329-Datos!$F$9)*Datos!$J$6,IF(O329&gt;=Datos!$F$10,(Datos!$I$8+Datos!$J$8)+(O329-Datos!$F$10)*Datos!$K$6))))-W329</f>
        <v>3143.5836666666664</v>
      </c>
      <c r="Q329" s="231">
        <f>IFERROR(VLOOKUP(C329,[1]Hoja1!$D$5:$E$58,2,FALSE),0)</f>
        <v>0</v>
      </c>
      <c r="R329" s="234"/>
      <c r="S329" s="234"/>
      <c r="T329" s="234"/>
      <c r="U329" s="234"/>
      <c r="V329" s="234">
        <v>25</v>
      </c>
      <c r="W329" s="231"/>
      <c r="X329" s="234">
        <f t="shared" si="41"/>
        <v>8430.0436666666665</v>
      </c>
      <c r="Y329" s="234">
        <f t="shared" si="37"/>
        <v>51569.956333333335</v>
      </c>
      <c r="Z329" s="296">
        <v>9606252877</v>
      </c>
      <c r="AA329" s="298">
        <v>45200</v>
      </c>
      <c r="AB329" s="235"/>
      <c r="AC329" s="264"/>
    </row>
    <row r="330" spans="1:29" s="236" customFormat="1" x14ac:dyDescent="0.25">
      <c r="A330" s="232"/>
      <c r="B330" s="302">
        <v>324</v>
      </c>
      <c r="C330" s="295" t="s">
        <v>515</v>
      </c>
      <c r="D330" s="232" t="s">
        <v>755</v>
      </c>
      <c r="E330" s="232" t="s">
        <v>85</v>
      </c>
      <c r="F330" s="232" t="s">
        <v>87</v>
      </c>
      <c r="G330" s="295">
        <v>5</v>
      </c>
      <c r="H330" s="296" t="s">
        <v>1662</v>
      </c>
      <c r="I330" s="297" t="s">
        <v>1060</v>
      </c>
      <c r="J330" s="232" t="s">
        <v>1567</v>
      </c>
      <c r="K330" s="233">
        <v>90000</v>
      </c>
      <c r="L330" s="284">
        <f>IF(K330&gt;=Datos!$D$14,(Datos!$D$14*Datos!$C$14),IF(K330&lt;=Datos!$D$14,(K330*Datos!$C$14)))</f>
        <v>2583</v>
      </c>
      <c r="M330" s="284">
        <f>IF(K330&gt;=Datos!$D$15,(Datos!$D$15*Datos!$C$15),IF(K330&lt;=Datos!$D$15,(K330*Datos!$C$15)))</f>
        <v>2736</v>
      </c>
      <c r="N330" s="231"/>
      <c r="O330" s="231">
        <f t="shared" si="45"/>
        <v>84681</v>
      </c>
      <c r="P330" s="223">
        <f>IF(O330&lt;=Datos!$G$7,"0",IF(O330&lt;=Datos!$G$8,(O330-Datos!$F$8)*Datos!$I$6,IF(O330&lt;=Datos!$G$9,Datos!$I$8+(O330-Datos!$F$9)*Datos!$J$6,IF(O330&gt;=Datos!$F$10,(Datos!$I$8+Datos!$J$8)+(O330-Datos!$F$10)*Datos!$K$6))))-W330</f>
        <v>9753.1106666666674</v>
      </c>
      <c r="Q330" s="231">
        <f>IFERROR(VLOOKUP(C330,[1]Hoja1!$D$5:$E$58,2,FALSE),0)</f>
        <v>0</v>
      </c>
      <c r="R330" s="234"/>
      <c r="S330" s="234"/>
      <c r="T330" s="234"/>
      <c r="U330" s="234"/>
      <c r="V330" s="234">
        <v>25</v>
      </c>
      <c r="W330" s="231"/>
      <c r="X330" s="234">
        <f t="shared" si="41"/>
        <v>15097.110666666667</v>
      </c>
      <c r="Y330" s="234">
        <f t="shared" si="37"/>
        <v>74902.889333333325</v>
      </c>
      <c r="Z330" s="296" t="s">
        <v>277</v>
      </c>
      <c r="AA330" s="298">
        <v>44197</v>
      </c>
      <c r="AB330" s="235"/>
      <c r="AC330" s="264"/>
    </row>
    <row r="331" spans="1:29" s="236" customFormat="1" x14ac:dyDescent="0.25">
      <c r="A331" s="232"/>
      <c r="B331" s="302">
        <v>325</v>
      </c>
      <c r="C331" s="295" t="s">
        <v>928</v>
      </c>
      <c r="D331" s="232" t="s">
        <v>929</v>
      </c>
      <c r="E331" s="232" t="s">
        <v>85</v>
      </c>
      <c r="F331" s="232" t="s">
        <v>87</v>
      </c>
      <c r="G331" s="295">
        <v>4</v>
      </c>
      <c r="H331" s="296" t="s">
        <v>1211</v>
      </c>
      <c r="I331" s="297" t="s">
        <v>1062</v>
      </c>
      <c r="J331" s="232" t="s">
        <v>930</v>
      </c>
      <c r="K331" s="233">
        <f>25000+10000</f>
        <v>35000</v>
      </c>
      <c r="L331" s="284">
        <f>IF(K331&gt;=Datos!$D$14,(Datos!$D$14*Datos!$C$14),IF(K331&lt;=Datos!$D$14,(K331*Datos!$C$14)))</f>
        <v>1004.5</v>
      </c>
      <c r="M331" s="284">
        <f>IF(K331&gt;=Datos!$D$15,(Datos!$D$15*Datos!$C$15),IF(K331&lt;=Datos!$D$15,(K331*Datos!$C$15)))</f>
        <v>1064</v>
      </c>
      <c r="N331" s="231"/>
      <c r="O331" s="231">
        <f t="shared" si="45"/>
        <v>32931.5</v>
      </c>
      <c r="P331" s="223">
        <f>IF(O331&lt;=Datos!$G$7,"0",IF(O331&lt;=Datos!$G$8,(O331-Datos!$F$8)*Datos!$I$6,IF(O331&lt;=Datos!$G$9,Datos!$I$8+(O331-Datos!$F$9)*Datos!$J$6,IF(O331&gt;=Datos!$F$10,(Datos!$I$8+Datos!$J$8)+(O331-Datos!$F$10)*Datos!$K$6))))-W331</f>
        <v>0</v>
      </c>
      <c r="Q331" s="231">
        <f>IFERROR(VLOOKUP(C331,[1]Hoja1!$D$5:$E$58,2,FALSE),0)</f>
        <v>0</v>
      </c>
      <c r="R331" s="234"/>
      <c r="S331" s="234"/>
      <c r="T331" s="234"/>
      <c r="U331" s="234"/>
      <c r="V331" s="234">
        <v>25</v>
      </c>
      <c r="W331" s="231"/>
      <c r="X331" s="234">
        <f t="shared" si="41"/>
        <v>2093.5</v>
      </c>
      <c r="Y331" s="234">
        <f t="shared" si="37"/>
        <v>32906.5</v>
      </c>
      <c r="Z331" s="296"/>
      <c r="AA331" s="298">
        <v>44652</v>
      </c>
      <c r="AB331" s="235"/>
      <c r="AC331" s="264"/>
    </row>
    <row r="332" spans="1:29" s="236" customFormat="1" x14ac:dyDescent="0.25">
      <c r="A332" s="232"/>
      <c r="B332" s="302">
        <v>326</v>
      </c>
      <c r="C332" s="295" t="s">
        <v>1521</v>
      </c>
      <c r="D332" s="232" t="s">
        <v>1522</v>
      </c>
      <c r="E332" s="232" t="s">
        <v>85</v>
      </c>
      <c r="F332" s="232" t="s">
        <v>87</v>
      </c>
      <c r="G332" s="295">
        <v>5</v>
      </c>
      <c r="H332" s="296" t="s">
        <v>1210</v>
      </c>
      <c r="I332" s="297" t="s">
        <v>1060</v>
      </c>
      <c r="J332" s="232" t="s">
        <v>963</v>
      </c>
      <c r="K332" s="233">
        <v>60000</v>
      </c>
      <c r="L332" s="284">
        <f>IF(K332&gt;=Datos!$D$14,(Datos!$D$14*Datos!$C$14),IF(K332&lt;=Datos!$D$14,(K332*Datos!$C$14)))</f>
        <v>1722</v>
      </c>
      <c r="M332" s="284">
        <f>IF(K332&gt;=Datos!$D$15,(Datos!$D$15*Datos!$C$15),IF(K332&lt;=Datos!$D$15,(K332*Datos!$C$15)))</f>
        <v>1824</v>
      </c>
      <c r="N332" s="231"/>
      <c r="O332" s="231">
        <f t="shared" si="45"/>
        <v>56454</v>
      </c>
      <c r="P332" s="223">
        <f>IF(O332&lt;=Datos!$G$7,"0",IF(O332&lt;=Datos!$G$8,(O332-Datos!$F$8)*Datos!$I$6,IF(O332&lt;=Datos!$G$9,Datos!$I$8+(O332-Datos!$F$9)*Datos!$J$6,IF(O332&gt;=Datos!$F$10,(Datos!$I$8+Datos!$J$8)+(O332-Datos!$F$10)*Datos!$K$6))))-W332</f>
        <v>3486.6756666666661</v>
      </c>
      <c r="Q332" s="231">
        <f>IFERROR(VLOOKUP(C332,[1]Hoja1!$D$5:$E$58,2,FALSE),0)</f>
        <v>0</v>
      </c>
      <c r="R332" s="234"/>
      <c r="S332" s="234"/>
      <c r="T332" s="234"/>
      <c r="U332" s="234"/>
      <c r="V332" s="234">
        <v>25</v>
      </c>
      <c r="W332" s="231"/>
      <c r="X332" s="234">
        <f t="shared" si="41"/>
        <v>7057.6756666666661</v>
      </c>
      <c r="Y332" s="234">
        <f t="shared" si="37"/>
        <v>52942.324333333338</v>
      </c>
      <c r="Z332" s="296">
        <v>9606937491</v>
      </c>
      <c r="AA332" s="298">
        <v>45383</v>
      </c>
      <c r="AB332" s="235"/>
      <c r="AC332" s="264"/>
    </row>
    <row r="333" spans="1:29" s="236" customFormat="1" x14ac:dyDescent="0.25">
      <c r="A333" s="232"/>
      <c r="B333" s="302">
        <v>327</v>
      </c>
      <c r="C333" s="295" t="s">
        <v>1254</v>
      </c>
      <c r="D333" s="232" t="s">
        <v>1255</v>
      </c>
      <c r="E333" s="232" t="s">
        <v>86</v>
      </c>
      <c r="F333" s="232" t="s">
        <v>87</v>
      </c>
      <c r="G333" s="295">
        <v>1</v>
      </c>
      <c r="H333" s="296" t="s">
        <v>1548</v>
      </c>
      <c r="I333" s="297" t="s">
        <v>1061</v>
      </c>
      <c r="J333" s="232" t="s">
        <v>833</v>
      </c>
      <c r="K333" s="233">
        <v>17500</v>
      </c>
      <c r="L333" s="284">
        <f>IF(K333&gt;=Datos!$D$14,(Datos!$D$14*Datos!$C$14),IF(K333&lt;=Datos!$D$14,(K333*Datos!$C$14)))</f>
        <v>502.25</v>
      </c>
      <c r="M333" s="284">
        <f>IF(K333&gt;=Datos!$D$15,(Datos!$D$15*Datos!$C$15),IF(K333&lt;=Datos!$D$15,(K333*Datos!$C$15)))</f>
        <v>532</v>
      </c>
      <c r="N333" s="231"/>
      <c r="O333" s="231">
        <f t="shared" si="45"/>
        <v>16465.75</v>
      </c>
      <c r="P333" s="223">
        <f>IF(O333&lt;=Datos!$G$7,"0",IF(O333&lt;=Datos!$G$8,(O333-Datos!$F$8)*Datos!$I$6,IF(O333&lt;=Datos!$G$9,Datos!$I$8+(O333-Datos!$F$9)*Datos!$J$6,IF(O333&gt;=Datos!$F$10,(Datos!$I$8+Datos!$J$8)+(O333-Datos!$F$10)*Datos!$K$6))))-W333</f>
        <v>0</v>
      </c>
      <c r="Q333" s="231">
        <f>IFERROR(VLOOKUP(C333,[1]Hoja1!$D$5:$E$58,2,FALSE),0)</f>
        <v>0</v>
      </c>
      <c r="R333" s="234"/>
      <c r="S333" s="234"/>
      <c r="T333" s="234"/>
      <c r="U333" s="234"/>
      <c r="V333" s="234">
        <v>25</v>
      </c>
      <c r="W333" s="231"/>
      <c r="X333" s="234">
        <f t="shared" si="41"/>
        <v>1059.25</v>
      </c>
      <c r="Y333" s="234">
        <f t="shared" si="37"/>
        <v>16440.75</v>
      </c>
      <c r="Z333" s="296">
        <v>9605725001</v>
      </c>
      <c r="AA333" s="298">
        <v>45047</v>
      </c>
      <c r="AB333" s="235"/>
      <c r="AC333" s="264"/>
    </row>
    <row r="334" spans="1:29" s="236" customFormat="1" x14ac:dyDescent="0.25">
      <c r="A334" s="232"/>
      <c r="B334" s="302">
        <v>328</v>
      </c>
      <c r="C334" s="295" t="s">
        <v>1844</v>
      </c>
      <c r="D334" s="232" t="s">
        <v>1845</v>
      </c>
      <c r="E334" s="232" t="s">
        <v>85</v>
      </c>
      <c r="F334" s="232" t="s">
        <v>87</v>
      </c>
      <c r="G334" s="295">
        <v>1</v>
      </c>
      <c r="H334" s="296" t="s">
        <v>1379</v>
      </c>
      <c r="I334" s="297" t="s">
        <v>1062</v>
      </c>
      <c r="J334" s="232" t="s">
        <v>1474</v>
      </c>
      <c r="K334" s="233">
        <v>26000</v>
      </c>
      <c r="L334" s="284">
        <f>IF(K334&gt;=Datos!$D$14,(Datos!$D$14*Datos!$C$14),IF(K334&lt;=Datos!$D$14,(K334*Datos!$C$14)))</f>
        <v>746.2</v>
      </c>
      <c r="M334" s="284">
        <f>IF(K334&gt;=Datos!$D$15,(Datos!$D$15*Datos!$C$15),IF(K334&lt;=Datos!$D$15,(K334*Datos!$C$15)))</f>
        <v>790.4</v>
      </c>
      <c r="N334" s="231"/>
      <c r="O334" s="231">
        <f t="shared" ref="O334" si="46">K334-(L334+M334+N334)</f>
        <v>24463.4</v>
      </c>
      <c r="P334" s="223">
        <f>IF(O334&lt;=Datos!$G$7,"0",IF(O334&lt;=Datos!$G$8,(O334-Datos!$F$8)*Datos!$I$6,IF(O334&lt;=Datos!$G$9,Datos!$I$8+(O334-Datos!$F$9)*Datos!$J$6,IF(O334&gt;=Datos!$F$10,(Datos!$I$8+Datos!$J$8)+(O334-Datos!$F$10)*Datos!$K$6))))-W334</f>
        <v>0</v>
      </c>
      <c r="Q334" s="231"/>
      <c r="R334" s="234"/>
      <c r="S334" s="234"/>
      <c r="T334" s="234"/>
      <c r="U334" s="234"/>
      <c r="V334" s="234">
        <v>25</v>
      </c>
      <c r="W334" s="231"/>
      <c r="X334" s="234">
        <f t="shared" ref="X334" si="47">SUM(P334:V334)+(L334+M334+N334)-W334</f>
        <v>1561.6</v>
      </c>
      <c r="Y334" s="234">
        <f t="shared" ref="Y334" si="48">+K334-X334</f>
        <v>24438.400000000001</v>
      </c>
      <c r="Z334" s="296">
        <v>9607759064</v>
      </c>
      <c r="AA334" s="298">
        <v>45627</v>
      </c>
      <c r="AB334" s="235"/>
      <c r="AC334" s="264"/>
    </row>
    <row r="335" spans="1:29" s="236" customFormat="1" x14ac:dyDescent="0.25">
      <c r="A335" s="232"/>
      <c r="B335" s="302">
        <v>329</v>
      </c>
      <c r="C335" s="295" t="s">
        <v>516</v>
      </c>
      <c r="D335" s="232" t="s">
        <v>756</v>
      </c>
      <c r="E335" s="232" t="s">
        <v>86</v>
      </c>
      <c r="F335" s="232" t="s">
        <v>87</v>
      </c>
      <c r="G335" s="295">
        <v>1</v>
      </c>
      <c r="H335" s="296" t="s">
        <v>1548</v>
      </c>
      <c r="I335" s="297" t="s">
        <v>1062</v>
      </c>
      <c r="J335" s="232" t="s">
        <v>842</v>
      </c>
      <c r="K335" s="233">
        <f>18975+3525</f>
        <v>22500</v>
      </c>
      <c r="L335" s="284">
        <f>IF(K335&gt;=Datos!$D$14,(Datos!$D$14*Datos!$C$14),IF(K335&lt;=Datos!$D$14,(K335*Datos!$C$14)))</f>
        <v>645.75</v>
      </c>
      <c r="M335" s="284">
        <f>IF(K335&gt;=Datos!$D$15,(Datos!$D$15*Datos!$C$15),IF(K335&lt;=Datos!$D$15,(K335*Datos!$C$15)))</f>
        <v>684</v>
      </c>
      <c r="N335" s="231"/>
      <c r="O335" s="231">
        <f t="shared" si="45"/>
        <v>21170.25</v>
      </c>
      <c r="P335" s="223">
        <f>IF(O335&lt;=Datos!$G$7,"0",IF(O335&lt;=Datos!$G$8,(O335-Datos!$F$8)*Datos!$I$6,IF(O335&lt;=Datos!$G$9,Datos!$I$8+(O335-Datos!$F$9)*Datos!$J$6,IF(O335&gt;=Datos!$F$10,(Datos!$I$8+Datos!$J$8)+(O335-Datos!$F$10)*Datos!$K$6))))-W335</f>
        <v>0</v>
      </c>
      <c r="Q335" s="231">
        <f>IFERROR(VLOOKUP(C335,[1]Hoja1!$D$5:$E$58,2,FALSE),0)</f>
        <v>0</v>
      </c>
      <c r="R335" s="234"/>
      <c r="S335" s="234"/>
      <c r="T335" s="234"/>
      <c r="U335" s="234"/>
      <c r="V335" s="234">
        <v>25</v>
      </c>
      <c r="W335" s="231"/>
      <c r="X335" s="234">
        <f t="shared" si="41"/>
        <v>1354.75</v>
      </c>
      <c r="Y335" s="234">
        <f t="shared" si="37"/>
        <v>21145.25</v>
      </c>
      <c r="Z335" s="296" t="s">
        <v>278</v>
      </c>
      <c r="AA335" s="298">
        <v>44197</v>
      </c>
      <c r="AB335" s="235"/>
      <c r="AC335" s="264"/>
    </row>
    <row r="336" spans="1:29" s="236" customFormat="1" x14ac:dyDescent="0.25">
      <c r="A336" s="232"/>
      <c r="B336" s="302">
        <v>330</v>
      </c>
      <c r="C336" s="295" t="s">
        <v>518</v>
      </c>
      <c r="D336" s="232" t="s">
        <v>758</v>
      </c>
      <c r="E336" s="232" t="s">
        <v>85</v>
      </c>
      <c r="F336" s="232" t="s">
        <v>87</v>
      </c>
      <c r="G336" s="295">
        <v>1</v>
      </c>
      <c r="H336" s="296" t="s">
        <v>1210</v>
      </c>
      <c r="I336" s="297" t="s">
        <v>1062</v>
      </c>
      <c r="J336" s="232" t="s">
        <v>960</v>
      </c>
      <c r="K336" s="233">
        <v>67567.5</v>
      </c>
      <c r="L336" s="284">
        <f>IF(K336&gt;=Datos!$D$14,(Datos!$D$14*Datos!$C$14),IF(K336&lt;=Datos!$D$14,(K336*Datos!$C$14)))</f>
        <v>1939.1872499999999</v>
      </c>
      <c r="M336" s="284">
        <f>IF(K336&gt;=Datos!$D$15,(Datos!$D$15*Datos!$C$15),IF(K336&lt;=Datos!$D$15,(K336*Datos!$C$15)))</f>
        <v>2054.0520000000001</v>
      </c>
      <c r="N336" s="231"/>
      <c r="O336" s="231">
        <f t="shared" si="45"/>
        <v>63574.260750000001</v>
      </c>
      <c r="P336" s="223">
        <f>IF(O336&lt;=Datos!$G$7,"0",IF(O336&lt;=Datos!$G$8,(O336-Datos!$F$8)*Datos!$I$6,IF(O336&lt;=Datos!$G$9,Datos!$I$8+(O336-Datos!$F$9)*Datos!$J$6,IF(O336&gt;=Datos!$F$10,(Datos!$I$8+Datos!$J$8)+(O336-Datos!$F$10)*Datos!$K$6))))-W336</f>
        <v>4910.7278166666665</v>
      </c>
      <c r="Q336" s="231">
        <f>IFERROR(VLOOKUP(C336,[1]Hoja1!$D$5:$E$58,2,FALSE),0)</f>
        <v>0</v>
      </c>
      <c r="R336" s="234"/>
      <c r="S336" s="234"/>
      <c r="T336" s="234"/>
      <c r="U336" s="234"/>
      <c r="V336" s="234">
        <v>25</v>
      </c>
      <c r="W336" s="231"/>
      <c r="X336" s="234">
        <f t="shared" si="41"/>
        <v>8928.9670666666661</v>
      </c>
      <c r="Y336" s="234">
        <f t="shared" si="37"/>
        <v>58638.532933333336</v>
      </c>
      <c r="Z336" s="296"/>
      <c r="AA336" s="298"/>
      <c r="AB336" s="235"/>
      <c r="AC336" s="264"/>
    </row>
    <row r="337" spans="1:29" s="236" customFormat="1" x14ac:dyDescent="0.25">
      <c r="A337" s="232"/>
      <c r="B337" s="302">
        <v>331</v>
      </c>
      <c r="C337" s="295" t="s">
        <v>519</v>
      </c>
      <c r="D337" s="232" t="s">
        <v>759</v>
      </c>
      <c r="E337" s="232" t="s">
        <v>85</v>
      </c>
      <c r="F337" s="232" t="s">
        <v>87</v>
      </c>
      <c r="G337" s="295">
        <v>5</v>
      </c>
      <c r="H337" s="296" t="s">
        <v>1210</v>
      </c>
      <c r="I337" s="297" t="s">
        <v>1060</v>
      </c>
      <c r="J337" s="232" t="s">
        <v>944</v>
      </c>
      <c r="K337" s="233">
        <f>25200+29800+10000</f>
        <v>65000</v>
      </c>
      <c r="L337" s="284">
        <f>IF(K337&gt;=Datos!$D$14,(Datos!$D$14*Datos!$C$14),IF(K337&lt;=Datos!$D$14,(K337*Datos!$C$14)))</f>
        <v>1865.5</v>
      </c>
      <c r="M337" s="284">
        <f>IF(K337&gt;=Datos!$D$15,(Datos!$D$15*Datos!$C$15),IF(K337&lt;=Datos!$D$15,(K337*Datos!$C$15)))</f>
        <v>1976</v>
      </c>
      <c r="N337" s="231">
        <v>1715.46</v>
      </c>
      <c r="O337" s="231">
        <f t="shared" si="45"/>
        <v>59443.040000000001</v>
      </c>
      <c r="P337" s="223">
        <f>IF(O337&lt;=Datos!$G$7,"0",IF(O337&lt;=Datos!$G$8,(O337-Datos!$F$8)*Datos!$I$6,IF(O337&lt;=Datos!$G$9,Datos!$I$8+(O337-Datos!$F$9)*Datos!$J$6,IF(O337&gt;=Datos!$F$10,(Datos!$I$8+Datos!$J$8)+(O337-Datos!$F$10)*Datos!$K$6))))-W337</f>
        <v>4084.4836666666665</v>
      </c>
      <c r="Q337" s="231">
        <f>IFERROR(VLOOKUP(C337,[1]Hoja1!$D$5:$E$58,2,FALSE),0)</f>
        <v>0</v>
      </c>
      <c r="R337" s="234"/>
      <c r="S337" s="234"/>
      <c r="T337" s="234"/>
      <c r="U337" s="234"/>
      <c r="V337" s="234">
        <v>25</v>
      </c>
      <c r="W337" s="231"/>
      <c r="X337" s="234">
        <f t="shared" si="41"/>
        <v>9666.4436666666661</v>
      </c>
      <c r="Y337" s="234">
        <f t="shared" si="37"/>
        <v>55333.556333333334</v>
      </c>
      <c r="Z337" s="296" t="s">
        <v>280</v>
      </c>
      <c r="AA337" s="298">
        <v>44197</v>
      </c>
      <c r="AB337" s="235"/>
      <c r="AC337" s="264"/>
    </row>
    <row r="338" spans="1:29" s="236" customFormat="1" x14ac:dyDescent="0.25">
      <c r="A338" s="232"/>
      <c r="B338" s="302">
        <v>332</v>
      </c>
      <c r="C338" s="295" t="s">
        <v>1625</v>
      </c>
      <c r="D338" s="232" t="s">
        <v>1626</v>
      </c>
      <c r="E338" s="232" t="s">
        <v>85</v>
      </c>
      <c r="F338" s="232" t="s">
        <v>87</v>
      </c>
      <c r="G338" s="295">
        <v>5</v>
      </c>
      <c r="H338" s="296" t="s">
        <v>1210</v>
      </c>
      <c r="I338" s="297" t="s">
        <v>1067</v>
      </c>
      <c r="J338" s="232" t="s">
        <v>1520</v>
      </c>
      <c r="K338" s="233">
        <v>35000</v>
      </c>
      <c r="L338" s="284">
        <f>IF(K338&gt;=Datos!$D$14,(Datos!$D$14*Datos!$C$14),IF(K338&lt;=Datos!$D$14,(K338*Datos!$C$14)))</f>
        <v>1004.5</v>
      </c>
      <c r="M338" s="284">
        <f>IF(K338&gt;=Datos!$D$15,(Datos!$D$15*Datos!$C$15),IF(K338&lt;=Datos!$D$15,(K338*Datos!$C$15)))</f>
        <v>1064</v>
      </c>
      <c r="N338" s="231"/>
      <c r="O338" s="231">
        <f t="shared" si="45"/>
        <v>32931.5</v>
      </c>
      <c r="P338" s="223">
        <f>IF(O338&lt;=Datos!$G$7,"0",IF(O338&lt;=Datos!$G$8,(O338-Datos!$F$8)*Datos!$I$6,IF(O338&lt;=Datos!$G$9,Datos!$I$8+(O338-Datos!$F$9)*Datos!$J$6,IF(O338&gt;=Datos!$F$10,(Datos!$I$8+Datos!$J$8)+(O338-Datos!$F$10)*Datos!$K$6))))-W338</f>
        <v>0</v>
      </c>
      <c r="Q338" s="231">
        <v>0</v>
      </c>
      <c r="R338" s="234"/>
      <c r="S338" s="234"/>
      <c r="T338" s="234"/>
      <c r="U338" s="234"/>
      <c r="V338" s="234">
        <v>25</v>
      </c>
      <c r="W338" s="231"/>
      <c r="X338" s="234">
        <f t="shared" si="41"/>
        <v>2093.5</v>
      </c>
      <c r="Y338" s="234">
        <f t="shared" si="37"/>
        <v>32906.5</v>
      </c>
      <c r="Z338" s="296">
        <v>9607405810</v>
      </c>
      <c r="AA338" s="298">
        <v>45536</v>
      </c>
      <c r="AB338" s="235"/>
      <c r="AC338" s="264"/>
    </row>
    <row r="339" spans="1:29" s="236" customFormat="1" x14ac:dyDescent="0.25">
      <c r="A339" s="232"/>
      <c r="B339" s="302">
        <v>333</v>
      </c>
      <c r="C339" s="295" t="s">
        <v>1860</v>
      </c>
      <c r="D339" s="232" t="s">
        <v>1861</v>
      </c>
      <c r="E339" s="232" t="s">
        <v>85</v>
      </c>
      <c r="F339" s="232" t="s">
        <v>87</v>
      </c>
      <c r="G339" s="295">
        <v>5</v>
      </c>
      <c r="H339" s="296" t="s">
        <v>1210</v>
      </c>
      <c r="I339" s="297" t="s">
        <v>1067</v>
      </c>
      <c r="J339" s="232" t="s">
        <v>1520</v>
      </c>
      <c r="K339" s="233">
        <v>35000</v>
      </c>
      <c r="L339" s="284">
        <f>IF(K339&gt;=Datos!$D$14,(Datos!$D$14*Datos!$C$14),IF(K339&lt;=Datos!$D$14,(K339*Datos!$C$14)))</f>
        <v>1004.5</v>
      </c>
      <c r="M339" s="284">
        <f>IF(K339&gt;=Datos!$D$15,(Datos!$D$15*Datos!$C$15),IF(K339&lt;=Datos!$D$15,(K339*Datos!$C$15)))</f>
        <v>1064</v>
      </c>
      <c r="N339" s="231"/>
      <c r="O339" s="231">
        <f t="shared" ref="O339" si="49">K339-(L339+M339+N339)</f>
        <v>32931.5</v>
      </c>
      <c r="P339" s="223">
        <f>IF(O339&lt;=Datos!$G$7,"0",IF(O339&lt;=Datos!$G$8,(O339-Datos!$F$8)*Datos!$I$6,IF(O339&lt;=Datos!$G$9,Datos!$I$8+(O339-Datos!$F$9)*Datos!$J$6,IF(O339&gt;=Datos!$F$10,(Datos!$I$8+Datos!$J$8)+(O339-Datos!$F$10)*Datos!$K$6))))-W339</f>
        <v>0</v>
      </c>
      <c r="Q339" s="231">
        <v>0</v>
      </c>
      <c r="R339" s="234"/>
      <c r="S339" s="234"/>
      <c r="T339" s="234"/>
      <c r="U339" s="234"/>
      <c r="V339" s="234">
        <v>25</v>
      </c>
      <c r="W339" s="231"/>
      <c r="X339" s="234">
        <f t="shared" ref="X339" si="50">SUM(P339:V339)+(L339+M339+N339)-W339</f>
        <v>2093.5</v>
      </c>
      <c r="Y339" s="234">
        <f t="shared" ref="Y339" si="51">+K339-X339</f>
        <v>32906.5</v>
      </c>
      <c r="Z339" s="296">
        <v>9607759033</v>
      </c>
      <c r="AA339" s="298">
        <v>45627</v>
      </c>
      <c r="AB339" s="235"/>
      <c r="AC339" s="264"/>
    </row>
    <row r="340" spans="1:29" s="236" customFormat="1" x14ac:dyDescent="0.25">
      <c r="A340" s="232"/>
      <c r="B340" s="302">
        <v>334</v>
      </c>
      <c r="C340" s="295" t="s">
        <v>871</v>
      </c>
      <c r="D340" s="232" t="s">
        <v>870</v>
      </c>
      <c r="E340" s="232" t="s">
        <v>85</v>
      </c>
      <c r="F340" s="232" t="s">
        <v>87</v>
      </c>
      <c r="G340" s="295">
        <v>5</v>
      </c>
      <c r="H340" s="296" t="s">
        <v>1662</v>
      </c>
      <c r="I340" s="297" t="s">
        <v>1060</v>
      </c>
      <c r="J340" s="232" t="s">
        <v>1037</v>
      </c>
      <c r="K340" s="233">
        <f>50000+30000</f>
        <v>80000</v>
      </c>
      <c r="L340" s="284">
        <f>IF(K340&gt;=Datos!$D$14,(Datos!$D$14*Datos!$C$14),IF(K340&lt;=Datos!$D$14,(K340*Datos!$C$14)))</f>
        <v>2296</v>
      </c>
      <c r="M340" s="284">
        <f>IF(K340&gt;=Datos!$D$15,(Datos!$D$15*Datos!$C$15),IF(K340&lt;=Datos!$D$15,(K340*Datos!$C$15)))</f>
        <v>2432</v>
      </c>
      <c r="N340" s="231">
        <v>1715.46</v>
      </c>
      <c r="O340" s="231">
        <f t="shared" si="45"/>
        <v>73556.539999999994</v>
      </c>
      <c r="P340" s="223">
        <f>IF(O340&lt;=Datos!$G$7,"0",IF(O340&lt;=Datos!$G$8,(O340-Datos!$F$8)*Datos!$I$6,IF(O340&lt;=Datos!$G$9,Datos!$I$8+(O340-Datos!$F$9)*Datos!$J$6,IF(O340&gt;=Datos!$F$10,(Datos!$I$8+Datos!$J$8)+(O340-Datos!$F$10)*Datos!$K$6))))-W340</f>
        <v>6971.9956666666658</v>
      </c>
      <c r="Q340" s="231">
        <f>IFERROR(VLOOKUP(C340,[1]Hoja1!$D$5:$E$58,2,FALSE),0)</f>
        <v>0</v>
      </c>
      <c r="R340" s="234"/>
      <c r="S340" s="234"/>
      <c r="T340" s="234"/>
      <c r="U340" s="234"/>
      <c r="V340" s="234">
        <v>25</v>
      </c>
      <c r="W340" s="231"/>
      <c r="X340" s="234">
        <f t="shared" si="41"/>
        <v>13440.455666666665</v>
      </c>
      <c r="Y340" s="234">
        <f t="shared" si="37"/>
        <v>66559.544333333339</v>
      </c>
      <c r="Z340" s="296" t="s">
        <v>885</v>
      </c>
      <c r="AA340" s="298">
        <v>44593</v>
      </c>
      <c r="AB340" s="235"/>
      <c r="AC340" s="264"/>
    </row>
    <row r="341" spans="1:29" s="236" customFormat="1" x14ac:dyDescent="0.25">
      <c r="A341" s="232"/>
      <c r="B341" s="302">
        <v>335</v>
      </c>
      <c r="C341" s="295" t="s">
        <v>1048</v>
      </c>
      <c r="D341" s="232" t="s">
        <v>1045</v>
      </c>
      <c r="E341" s="232" t="s">
        <v>85</v>
      </c>
      <c r="F341" s="232" t="s">
        <v>87</v>
      </c>
      <c r="G341" s="295">
        <v>5</v>
      </c>
      <c r="H341" s="296" t="s">
        <v>1210</v>
      </c>
      <c r="I341" s="297" t="s">
        <v>1062</v>
      </c>
      <c r="J341" s="232" t="s">
        <v>1336</v>
      </c>
      <c r="K341" s="233">
        <f>25000+10000</f>
        <v>35000</v>
      </c>
      <c r="L341" s="284">
        <f>IF(K341&gt;=Datos!$D$14,(Datos!$D$14*Datos!$C$14),IF(K341&lt;=Datos!$D$14,(K341*Datos!$C$14)))</f>
        <v>1004.5</v>
      </c>
      <c r="M341" s="284">
        <f>IF(K341&gt;=Datos!$D$15,(Datos!$D$15*Datos!$C$15),IF(K341&lt;=Datos!$D$15,(K341*Datos!$C$15)))</f>
        <v>1064</v>
      </c>
      <c r="N341" s="231"/>
      <c r="O341" s="231">
        <f t="shared" si="45"/>
        <v>32931.5</v>
      </c>
      <c r="P341" s="223">
        <f>IF(O341&lt;=Datos!$G$7,"0",IF(O341&lt;=Datos!$G$8,(O341-Datos!$F$8)*Datos!$I$6,IF(O341&lt;=Datos!$G$9,Datos!$I$8+(O341-Datos!$F$9)*Datos!$J$6,IF(O341&gt;=Datos!$F$10,(Datos!$I$8+Datos!$J$8)+(O341-Datos!$F$10)*Datos!$K$6))))-W341</f>
        <v>0</v>
      </c>
      <c r="Q341" s="231">
        <f>IFERROR(VLOOKUP(C341,[1]Hoja1!$D$5:$E$58,2,FALSE),0)</f>
        <v>0</v>
      </c>
      <c r="R341" s="234"/>
      <c r="S341" s="234"/>
      <c r="T341" s="234"/>
      <c r="U341" s="234"/>
      <c r="V341" s="234">
        <v>25</v>
      </c>
      <c r="W341" s="231"/>
      <c r="X341" s="234">
        <f t="shared" si="41"/>
        <v>2093.5</v>
      </c>
      <c r="Y341" s="234">
        <f t="shared" si="37"/>
        <v>32906.5</v>
      </c>
      <c r="Z341" s="296" t="s">
        <v>885</v>
      </c>
      <c r="AA341" s="298">
        <v>44805</v>
      </c>
      <c r="AB341" s="235"/>
      <c r="AC341" s="264"/>
    </row>
    <row r="342" spans="1:29" s="236" customFormat="1" x14ac:dyDescent="0.25">
      <c r="A342" s="232"/>
      <c r="B342" s="302">
        <v>336</v>
      </c>
      <c r="C342" s="295" t="s">
        <v>1252</v>
      </c>
      <c r="D342" s="232" t="s">
        <v>1253</v>
      </c>
      <c r="E342" s="232" t="s">
        <v>86</v>
      </c>
      <c r="F342" s="232" t="s">
        <v>87</v>
      </c>
      <c r="G342" s="295">
        <v>1</v>
      </c>
      <c r="H342" s="296" t="s">
        <v>1548</v>
      </c>
      <c r="I342" s="297" t="s">
        <v>1061</v>
      </c>
      <c r="J342" s="232" t="s">
        <v>833</v>
      </c>
      <c r="K342" s="233">
        <v>17500</v>
      </c>
      <c r="L342" s="284">
        <f>IF(K342&gt;=Datos!$D$14,(Datos!$D$14*Datos!$C$14),IF(K342&lt;=Datos!$D$14,(K342*Datos!$C$14)))</f>
        <v>502.25</v>
      </c>
      <c r="M342" s="284">
        <f>IF(K342&gt;=Datos!$D$15,(Datos!$D$15*Datos!$C$15),IF(K342&lt;=Datos!$D$15,(K342*Datos!$C$15)))</f>
        <v>532</v>
      </c>
      <c r="N342" s="231"/>
      <c r="O342" s="231">
        <f t="shared" si="45"/>
        <v>16465.75</v>
      </c>
      <c r="P342" s="223">
        <f>IF(O342&lt;=Datos!$G$7,"0",IF(O342&lt;=Datos!$G$8,(O342-Datos!$F$8)*Datos!$I$6,IF(O342&lt;=Datos!$G$9,Datos!$I$8+(O342-Datos!$F$9)*Datos!$J$6,IF(O342&gt;=Datos!$F$10,(Datos!$I$8+Datos!$J$8)+(O342-Datos!$F$10)*Datos!$K$6))))-W342</f>
        <v>0</v>
      </c>
      <c r="Q342" s="231">
        <v>4573.42</v>
      </c>
      <c r="R342" s="234"/>
      <c r="S342" s="234"/>
      <c r="T342" s="234"/>
      <c r="U342" s="234"/>
      <c r="V342" s="234">
        <v>25</v>
      </c>
      <c r="W342" s="231"/>
      <c r="X342" s="234">
        <f t="shared" si="41"/>
        <v>5632.67</v>
      </c>
      <c r="Y342" s="234">
        <f t="shared" si="37"/>
        <v>11867.33</v>
      </c>
      <c r="Z342" s="296">
        <v>9605725007</v>
      </c>
      <c r="AA342" s="298">
        <v>45047</v>
      </c>
      <c r="AB342" s="235"/>
      <c r="AC342" s="264"/>
    </row>
    <row r="343" spans="1:29" s="236" customFormat="1" x14ac:dyDescent="0.25">
      <c r="A343" s="232"/>
      <c r="B343" s="302">
        <v>337</v>
      </c>
      <c r="C343" s="295" t="s">
        <v>520</v>
      </c>
      <c r="D343" s="232" t="s">
        <v>1868</v>
      </c>
      <c r="E343" s="232" t="s">
        <v>85</v>
      </c>
      <c r="F343" s="232" t="s">
        <v>87</v>
      </c>
      <c r="G343" s="295">
        <v>4</v>
      </c>
      <c r="H343" s="296" t="s">
        <v>1209</v>
      </c>
      <c r="I343" s="297" t="s">
        <v>1060</v>
      </c>
      <c r="J343" s="232" t="s">
        <v>1588</v>
      </c>
      <c r="K343" s="233">
        <v>75000</v>
      </c>
      <c r="L343" s="284">
        <f>IF(K343&gt;=Datos!$D$14,(Datos!$D$14*Datos!$C$14),IF(K343&lt;=Datos!$D$14,(K343*Datos!$C$14)))</f>
        <v>2152.5</v>
      </c>
      <c r="M343" s="284">
        <f>IF(K343&gt;=Datos!$D$15,(Datos!$D$15*Datos!$C$15),IF(K343&lt;=Datos!$D$15,(K343*Datos!$C$15)))</f>
        <v>2280</v>
      </c>
      <c r="N343" s="231"/>
      <c r="O343" s="231">
        <f t="shared" si="45"/>
        <v>70567.5</v>
      </c>
      <c r="P343" s="223">
        <f>IF(O343&lt;=Datos!$G$7,"0",IF(O343&lt;=Datos!$G$8,(O343-Datos!$F$8)*Datos!$I$6,IF(O343&lt;=Datos!$G$9,Datos!$I$8+(O343-Datos!$F$9)*Datos!$J$6,IF(O343&gt;=Datos!$F$10,(Datos!$I$8+Datos!$J$8)+(O343-Datos!$F$10)*Datos!$K$6))))-W343</f>
        <v>6309.3756666666668</v>
      </c>
      <c r="Q343" s="231">
        <f>IFERROR(VLOOKUP(C343,[1]Hoja1!$D$5:$E$58,2,FALSE),0)</f>
        <v>0</v>
      </c>
      <c r="R343" s="234"/>
      <c r="S343" s="234"/>
      <c r="T343" s="234"/>
      <c r="U343" s="234"/>
      <c r="V343" s="231">
        <v>25</v>
      </c>
      <c r="W343" s="231"/>
      <c r="X343" s="234">
        <f t="shared" si="41"/>
        <v>10766.875666666667</v>
      </c>
      <c r="Y343" s="234">
        <f t="shared" si="37"/>
        <v>64233.124333333333</v>
      </c>
      <c r="Z343" s="296" t="s">
        <v>281</v>
      </c>
      <c r="AA343" s="298">
        <v>44197</v>
      </c>
      <c r="AB343" s="235"/>
      <c r="AC343" s="264"/>
    </row>
    <row r="344" spans="1:29" s="236" customFormat="1" x14ac:dyDescent="0.25">
      <c r="A344" s="232"/>
      <c r="B344" s="302">
        <v>338</v>
      </c>
      <c r="C344" s="295" t="s">
        <v>521</v>
      </c>
      <c r="D344" s="232" t="s">
        <v>760</v>
      </c>
      <c r="E344" s="232" t="s">
        <v>85</v>
      </c>
      <c r="F344" s="232" t="s">
        <v>87</v>
      </c>
      <c r="G344" s="295">
        <v>1</v>
      </c>
      <c r="H344" s="296" t="s">
        <v>1187</v>
      </c>
      <c r="I344" s="297" t="s">
        <v>1187</v>
      </c>
      <c r="J344" s="232" t="s">
        <v>921</v>
      </c>
      <c r="K344" s="233">
        <v>145000</v>
      </c>
      <c r="L344" s="284">
        <f>IF(K344&gt;=Datos!$D$14,(Datos!$D$14*Datos!$C$14),IF(K344&lt;=Datos!$D$14,(K344*Datos!$C$14)))</f>
        <v>4161.5</v>
      </c>
      <c r="M344" s="284">
        <f>IF(K344&gt;=Datos!$D$15,(Datos!$D$15*Datos!$C$15),IF(K344&lt;=Datos!$D$15,(K344*Datos!$C$15)))</f>
        <v>4408</v>
      </c>
      <c r="N344" s="231"/>
      <c r="O344" s="231">
        <f t="shared" si="45"/>
        <v>136430.5</v>
      </c>
      <c r="P344" s="223">
        <f>IF(O344&lt;=Datos!$G$7,"0",IF(O344&lt;=Datos!$G$8,(O344-Datos!$F$8)*Datos!$I$6,IF(O344&lt;=Datos!$G$9,Datos!$I$8+(O344-Datos!$F$9)*Datos!$J$6,IF(O344&gt;=Datos!$F$10,(Datos!$I$8+Datos!$J$8)+(O344-Datos!$F$10)*Datos!$K$6))))-W344</f>
        <v>22690.485666666667</v>
      </c>
      <c r="Q344" s="231">
        <f>IFERROR(VLOOKUP(C344,[1]Hoja1!$D$5:$E$58,2,FALSE),0)</f>
        <v>0</v>
      </c>
      <c r="R344" s="234"/>
      <c r="S344" s="234"/>
      <c r="T344" s="234"/>
      <c r="U344" s="234"/>
      <c r="V344" s="234">
        <v>25</v>
      </c>
      <c r="W344" s="231"/>
      <c r="X344" s="234">
        <f t="shared" si="41"/>
        <v>31284.985666666667</v>
      </c>
      <c r="Y344" s="234">
        <f t="shared" si="37"/>
        <v>113715.01433333333</v>
      </c>
      <c r="Z344" s="296" t="s">
        <v>282</v>
      </c>
      <c r="AA344" s="298">
        <v>44378</v>
      </c>
      <c r="AB344" s="235"/>
      <c r="AC344" s="264"/>
    </row>
    <row r="345" spans="1:29" s="236" customFormat="1" x14ac:dyDescent="0.25">
      <c r="A345" s="232"/>
      <c r="B345" s="302">
        <v>339</v>
      </c>
      <c r="C345" s="295" t="s">
        <v>523</v>
      </c>
      <c r="D345" s="232" t="s">
        <v>762</v>
      </c>
      <c r="E345" s="232" t="s">
        <v>86</v>
      </c>
      <c r="F345" s="232" t="s">
        <v>87</v>
      </c>
      <c r="G345" s="295">
        <v>1</v>
      </c>
      <c r="H345" s="296" t="s">
        <v>1685</v>
      </c>
      <c r="I345" s="297" t="s">
        <v>1187</v>
      </c>
      <c r="J345" s="232" t="s">
        <v>864</v>
      </c>
      <c r="K345" s="233">
        <v>135000</v>
      </c>
      <c r="L345" s="284">
        <f>IF(K345&gt;=Datos!$D$14,(Datos!$D$14*Datos!$C$14),IF(K345&lt;=Datos!$D$14,(K345*Datos!$C$14)))</f>
        <v>3874.5</v>
      </c>
      <c r="M345" s="284">
        <f>IF(K345&gt;=Datos!$D$15,(Datos!$D$15*Datos!$C$15),IF(K345&lt;=Datos!$D$15,(K345*Datos!$C$15)))</f>
        <v>4104</v>
      </c>
      <c r="N345" s="231"/>
      <c r="O345" s="231">
        <f t="shared" si="45"/>
        <v>127021.5</v>
      </c>
      <c r="P345" s="223">
        <f>IF(O345&lt;=Datos!$G$7,"0",IF(O345&lt;=Datos!$G$8,(O345-Datos!$F$8)*Datos!$I$6,IF(O345&lt;=Datos!$G$9,Datos!$I$8+(O345-Datos!$F$9)*Datos!$J$6,IF(O345&gt;=Datos!$F$10,(Datos!$I$8+Datos!$J$8)+(O345-Datos!$F$10)*Datos!$K$6))))-W345</f>
        <v>20338.235666666667</v>
      </c>
      <c r="Q345" s="231">
        <f>IFERROR(VLOOKUP(C345,[1]Hoja1!$D$5:$E$58,2,FALSE),0)</f>
        <v>0</v>
      </c>
      <c r="R345" s="234"/>
      <c r="S345" s="234"/>
      <c r="T345" s="234"/>
      <c r="U345" s="234"/>
      <c r="V345" s="234">
        <v>25</v>
      </c>
      <c r="W345" s="231"/>
      <c r="X345" s="234">
        <f t="shared" si="41"/>
        <v>28341.735666666667</v>
      </c>
      <c r="Y345" s="234">
        <f t="shared" si="37"/>
        <v>106658.26433333333</v>
      </c>
      <c r="Z345" s="296" t="s">
        <v>284</v>
      </c>
      <c r="AA345" s="298">
        <v>44197</v>
      </c>
      <c r="AB345" s="235"/>
      <c r="AC345" s="264"/>
    </row>
    <row r="346" spans="1:29" s="236" customFormat="1" x14ac:dyDescent="0.25">
      <c r="A346" s="232"/>
      <c r="B346" s="302">
        <v>340</v>
      </c>
      <c r="C346" s="295" t="s">
        <v>1295</v>
      </c>
      <c r="D346" s="232" t="s">
        <v>1296</v>
      </c>
      <c r="E346" s="232" t="s">
        <v>86</v>
      </c>
      <c r="F346" s="232" t="s">
        <v>87</v>
      </c>
      <c r="G346" s="295">
        <v>1</v>
      </c>
      <c r="H346" s="296" t="s">
        <v>1828</v>
      </c>
      <c r="I346" s="297" t="s">
        <v>1061</v>
      </c>
      <c r="J346" s="232" t="s">
        <v>844</v>
      </c>
      <c r="K346" s="233">
        <v>20000</v>
      </c>
      <c r="L346" s="284">
        <f>IF(K346&gt;=Datos!$D$14,(Datos!$D$14*Datos!$C$14),IF(K346&lt;=Datos!$D$14,(K346*Datos!$C$14)))</f>
        <v>574</v>
      </c>
      <c r="M346" s="284">
        <f>IF(K346&gt;=Datos!$D$15,(Datos!$D$15*Datos!$C$15),IF(K346&lt;=Datos!$D$15,(K346*Datos!$C$15)))</f>
        <v>608</v>
      </c>
      <c r="N346" s="231"/>
      <c r="O346" s="231">
        <f t="shared" si="45"/>
        <v>18818</v>
      </c>
      <c r="P346" s="223">
        <f>IF(O346&lt;=Datos!$G$7,"0",IF(O346&lt;=Datos!$G$8,(O346-Datos!$F$8)*Datos!$I$6,IF(O346&lt;=Datos!$G$9,Datos!$I$8+(O346-Datos!$F$9)*Datos!$J$6,IF(O346&gt;=Datos!$F$10,(Datos!$I$8+Datos!$J$8)+(O346-Datos!$F$10)*Datos!$K$6))))-W346</f>
        <v>0</v>
      </c>
      <c r="Q346" s="231">
        <v>4573.42</v>
      </c>
      <c r="R346" s="234"/>
      <c r="S346" s="234"/>
      <c r="T346" s="234"/>
      <c r="U346" s="234"/>
      <c r="V346" s="234">
        <v>25</v>
      </c>
      <c r="W346" s="231"/>
      <c r="X346" s="234">
        <f t="shared" si="41"/>
        <v>5780.42</v>
      </c>
      <c r="Y346" s="234">
        <f t="shared" si="37"/>
        <v>14219.58</v>
      </c>
      <c r="Z346" s="296">
        <v>9605835724</v>
      </c>
      <c r="AA346" s="298">
        <v>45078</v>
      </c>
      <c r="AB346" s="235"/>
      <c r="AC346" s="264"/>
    </row>
    <row r="347" spans="1:29" s="236" customFormat="1" x14ac:dyDescent="0.25">
      <c r="A347" s="232"/>
      <c r="B347" s="302">
        <v>341</v>
      </c>
      <c r="C347" s="295" t="s">
        <v>524</v>
      </c>
      <c r="D347" s="232" t="s">
        <v>763</v>
      </c>
      <c r="E347" s="232" t="s">
        <v>86</v>
      </c>
      <c r="F347" s="232" t="s">
        <v>87</v>
      </c>
      <c r="G347" s="295">
        <v>1</v>
      </c>
      <c r="H347" s="296" t="s">
        <v>1548</v>
      </c>
      <c r="I347" s="297" t="s">
        <v>1061</v>
      </c>
      <c r="J347" s="232" t="s">
        <v>852</v>
      </c>
      <c r="K347" s="233">
        <f>13860+4140</f>
        <v>18000</v>
      </c>
      <c r="L347" s="284">
        <f>IF(K347&gt;=Datos!$D$14,(Datos!$D$14*Datos!$C$14),IF(K347&lt;=Datos!$D$14,(K347*Datos!$C$14)))</f>
        <v>516.6</v>
      </c>
      <c r="M347" s="284">
        <f>IF(K347&gt;=Datos!$D$15,(Datos!$D$15*Datos!$C$15),IF(K347&lt;=Datos!$D$15,(K347*Datos!$C$15)))</f>
        <v>547.20000000000005</v>
      </c>
      <c r="N347" s="231"/>
      <c r="O347" s="231">
        <f t="shared" si="45"/>
        <v>16936.2</v>
      </c>
      <c r="P347" s="223">
        <f>IF(O347&lt;=Datos!$G$7,"0",IF(O347&lt;=Datos!$G$8,(O347-Datos!$F$8)*Datos!$I$6,IF(O347&lt;=Datos!$G$9,Datos!$I$8+(O347-Datos!$F$9)*Datos!$J$6,IF(O347&gt;=Datos!$F$10,(Datos!$I$8+Datos!$J$8)+(O347-Datos!$F$10)*Datos!$K$6))))-W347</f>
        <v>0</v>
      </c>
      <c r="Q347" s="231">
        <v>9172.01</v>
      </c>
      <c r="R347" s="234"/>
      <c r="S347" s="234"/>
      <c r="T347" s="234"/>
      <c r="U347" s="234"/>
      <c r="V347" s="234">
        <v>25</v>
      </c>
      <c r="W347" s="231"/>
      <c r="X347" s="234">
        <f t="shared" si="41"/>
        <v>10260.810000000001</v>
      </c>
      <c r="Y347" s="234">
        <f t="shared" si="37"/>
        <v>7739.1899999999987</v>
      </c>
      <c r="Z347" s="296" t="s">
        <v>285</v>
      </c>
      <c r="AA347" s="298">
        <v>44197</v>
      </c>
      <c r="AB347" s="235"/>
      <c r="AC347" s="264"/>
    </row>
    <row r="348" spans="1:29" s="236" customFormat="1" x14ac:dyDescent="0.25">
      <c r="A348" s="232"/>
      <c r="B348" s="302">
        <v>342</v>
      </c>
      <c r="C348" s="295" t="s">
        <v>525</v>
      </c>
      <c r="D348" s="232" t="s">
        <v>764</v>
      </c>
      <c r="E348" s="232" t="s">
        <v>86</v>
      </c>
      <c r="F348" s="232" t="s">
        <v>87</v>
      </c>
      <c r="G348" s="295">
        <v>5</v>
      </c>
      <c r="H348" s="296" t="s">
        <v>1662</v>
      </c>
      <c r="I348" s="297" t="s">
        <v>1061</v>
      </c>
      <c r="J348" s="232" t="s">
        <v>837</v>
      </c>
      <c r="K348" s="233">
        <v>60000</v>
      </c>
      <c r="L348" s="284">
        <f>IF(K348&gt;=Datos!$D$14,(Datos!$D$14*Datos!$C$14),IF(K348&lt;=Datos!$D$14,(K348*Datos!$C$14)))</f>
        <v>1722</v>
      </c>
      <c r="M348" s="284">
        <f>IF(K348&gt;=Datos!$D$15,(Datos!$D$15*Datos!$C$15),IF(K348&lt;=Datos!$D$15,(K348*Datos!$C$15)))</f>
        <v>1824</v>
      </c>
      <c r="N348" s="231"/>
      <c r="O348" s="231">
        <f t="shared" si="45"/>
        <v>56454</v>
      </c>
      <c r="P348" s="223">
        <f>IF(O348&lt;=Datos!$G$7,"0",IF(O348&lt;=Datos!$G$8,(O348-Datos!$F$8)*Datos!$I$6,IF(O348&lt;=Datos!$G$9,Datos!$I$8+(O348-Datos!$F$9)*Datos!$J$6,IF(O348&gt;=Datos!$F$10,(Datos!$I$8+Datos!$J$8)+(O348-Datos!$F$10)*Datos!$K$6))))-W348</f>
        <v>3486.6756666666661</v>
      </c>
      <c r="Q348" s="231">
        <f>IFERROR(VLOOKUP(C348,[1]Hoja1!$D$5:$E$58,2,FALSE),0)</f>
        <v>0</v>
      </c>
      <c r="R348" s="234"/>
      <c r="S348" s="234"/>
      <c r="T348" s="234"/>
      <c r="U348" s="234"/>
      <c r="V348" s="234">
        <v>25</v>
      </c>
      <c r="W348" s="231"/>
      <c r="X348" s="234">
        <f t="shared" si="41"/>
        <v>7057.6756666666661</v>
      </c>
      <c r="Y348" s="234">
        <f t="shared" si="37"/>
        <v>52942.324333333338</v>
      </c>
      <c r="Z348" s="296" t="s">
        <v>286</v>
      </c>
      <c r="AA348" s="298">
        <v>44197</v>
      </c>
      <c r="AB348" s="235"/>
      <c r="AC348" s="264"/>
    </row>
    <row r="349" spans="1:29" s="236" customFormat="1" x14ac:dyDescent="0.25">
      <c r="A349" s="232"/>
      <c r="B349" s="302">
        <v>343</v>
      </c>
      <c r="C349" s="295" t="s">
        <v>925</v>
      </c>
      <c r="D349" s="232" t="s">
        <v>1042</v>
      </c>
      <c r="E349" s="232" t="s">
        <v>85</v>
      </c>
      <c r="F349" s="232" t="s">
        <v>87</v>
      </c>
      <c r="G349" s="295">
        <v>1</v>
      </c>
      <c r="H349" s="296" t="s">
        <v>1548</v>
      </c>
      <c r="I349" s="297" t="s">
        <v>1062</v>
      </c>
      <c r="J349" s="232" t="s">
        <v>833</v>
      </c>
      <c r="K349" s="233">
        <f>12000+6000</f>
        <v>18000</v>
      </c>
      <c r="L349" s="284">
        <f>IF(K349&gt;=Datos!$D$14,(Datos!$D$14*Datos!$C$14),IF(K349&lt;=Datos!$D$14,(K349*Datos!$C$14)))</f>
        <v>516.6</v>
      </c>
      <c r="M349" s="284">
        <f>IF(K349&gt;=Datos!$D$15,(Datos!$D$15*Datos!$C$15),IF(K349&lt;=Datos!$D$15,(K349*Datos!$C$15)))</f>
        <v>547.20000000000005</v>
      </c>
      <c r="N349" s="231"/>
      <c r="O349" s="231">
        <f t="shared" si="45"/>
        <v>16936.2</v>
      </c>
      <c r="P349" s="223">
        <f>IF(O349&lt;=Datos!$G$7,"0",IF(O349&lt;=Datos!$G$8,(O349-Datos!$F$8)*Datos!$I$6,IF(O349&lt;=Datos!$G$9,Datos!$I$8+(O349-Datos!$F$9)*Datos!$J$6,IF(O349&gt;=Datos!$F$10,(Datos!$I$8+Datos!$J$8)+(O349-Datos!$F$10)*Datos!$K$6))))-W349</f>
        <v>0</v>
      </c>
      <c r="Q349" s="231">
        <f>IFERROR(VLOOKUP(C349,[1]Hoja1!$D$5:$E$58,2,FALSE),0)</f>
        <v>0</v>
      </c>
      <c r="R349" s="234"/>
      <c r="S349" s="234"/>
      <c r="T349" s="234"/>
      <c r="U349" s="234"/>
      <c r="V349" s="234">
        <v>25</v>
      </c>
      <c r="W349" s="231"/>
      <c r="X349" s="234">
        <f t="shared" si="41"/>
        <v>1088.8000000000002</v>
      </c>
      <c r="Y349" s="234">
        <f t="shared" si="37"/>
        <v>16911.2</v>
      </c>
      <c r="Z349" s="296"/>
      <c r="AA349" s="298">
        <v>44652</v>
      </c>
      <c r="AB349" s="235"/>
      <c r="AC349" s="264"/>
    </row>
    <row r="350" spans="1:29" s="236" customFormat="1" x14ac:dyDescent="0.25">
      <c r="A350" s="232"/>
      <c r="B350" s="302">
        <v>344</v>
      </c>
      <c r="C350" s="295" t="s">
        <v>527</v>
      </c>
      <c r="D350" s="232" t="s">
        <v>766</v>
      </c>
      <c r="E350" s="232" t="s">
        <v>86</v>
      </c>
      <c r="F350" s="232" t="s">
        <v>87</v>
      </c>
      <c r="G350" s="295">
        <v>1</v>
      </c>
      <c r="H350" s="296" t="s">
        <v>1828</v>
      </c>
      <c r="I350" s="297" t="s">
        <v>1060</v>
      </c>
      <c r="J350" s="232" t="s">
        <v>847</v>
      </c>
      <c r="K350" s="233">
        <v>25357.5</v>
      </c>
      <c r="L350" s="284">
        <f>IF(K350&gt;=Datos!$D$14,(Datos!$D$14*Datos!$C$14),IF(K350&lt;=Datos!$D$14,(K350*Datos!$C$14)))</f>
        <v>727.76025000000004</v>
      </c>
      <c r="M350" s="284">
        <f>IF(K350&gt;=Datos!$D$15,(Datos!$D$15*Datos!$C$15),IF(K350&lt;=Datos!$D$15,(K350*Datos!$C$15)))</f>
        <v>770.86800000000005</v>
      </c>
      <c r="N350" s="231"/>
      <c r="O350" s="231">
        <f t="shared" si="45"/>
        <v>23858.871749999998</v>
      </c>
      <c r="P350" s="223">
        <f>IF(O350&lt;=Datos!$G$7,"0",IF(O350&lt;=Datos!$G$8,(O350-Datos!$F$8)*Datos!$I$6,IF(O350&lt;=Datos!$G$9,Datos!$I$8+(O350-Datos!$F$9)*Datos!$J$6,IF(O350&gt;=Datos!$F$10,(Datos!$I$8+Datos!$J$8)+(O350-Datos!$F$10)*Datos!$K$6))))-W350</f>
        <v>0</v>
      </c>
      <c r="Q350" s="231">
        <f>IFERROR(VLOOKUP(C350,[1]Hoja1!$D$5:$E$58,2,FALSE),0)</f>
        <v>0</v>
      </c>
      <c r="R350" s="234"/>
      <c r="S350" s="234"/>
      <c r="T350" s="234"/>
      <c r="U350" s="234"/>
      <c r="V350" s="234">
        <v>25</v>
      </c>
      <c r="W350" s="231"/>
      <c r="X350" s="234">
        <f t="shared" si="41"/>
        <v>1523.6282500000002</v>
      </c>
      <c r="Y350" s="234">
        <f t="shared" si="37"/>
        <v>23833.871749999998</v>
      </c>
      <c r="Z350" s="296" t="s">
        <v>288</v>
      </c>
      <c r="AA350" s="298">
        <v>44197</v>
      </c>
      <c r="AB350" s="235"/>
      <c r="AC350" s="264"/>
    </row>
    <row r="351" spans="1:29" s="236" customFormat="1" x14ac:dyDescent="0.25">
      <c r="A351" s="232"/>
      <c r="B351" s="302">
        <v>345</v>
      </c>
      <c r="C351" s="295" t="s">
        <v>528</v>
      </c>
      <c r="D351" s="232" t="s">
        <v>767</v>
      </c>
      <c r="E351" s="232" t="s">
        <v>85</v>
      </c>
      <c r="F351" s="232" t="s">
        <v>87</v>
      </c>
      <c r="G351" s="295">
        <v>1</v>
      </c>
      <c r="H351" s="296" t="s">
        <v>1548</v>
      </c>
      <c r="I351" s="297" t="s">
        <v>1062</v>
      </c>
      <c r="J351" s="232" t="s">
        <v>833</v>
      </c>
      <c r="K351" s="233">
        <f>13860+4140</f>
        <v>18000</v>
      </c>
      <c r="L351" s="284">
        <f>IF(K351&gt;=Datos!$D$14,(Datos!$D$14*Datos!$C$14),IF(K351&lt;=Datos!$D$14,(K351*Datos!$C$14)))</f>
        <v>516.6</v>
      </c>
      <c r="M351" s="284">
        <f>IF(K351&gt;=Datos!$D$15,(Datos!$D$15*Datos!$C$15),IF(K351&lt;=Datos!$D$15,(K351*Datos!$C$15)))</f>
        <v>547.20000000000005</v>
      </c>
      <c r="N351" s="231"/>
      <c r="O351" s="231">
        <f t="shared" si="45"/>
        <v>16936.2</v>
      </c>
      <c r="P351" s="223">
        <f>IF(O351&lt;=Datos!$G$7,"0",IF(O351&lt;=Datos!$G$8,(O351-Datos!$F$8)*Datos!$I$6,IF(O351&lt;=Datos!$G$9,Datos!$I$8+(O351-Datos!$F$9)*Datos!$J$6,IF(O351&gt;=Datos!$F$10,(Datos!$I$8+Datos!$J$8)+(O351-Datos!$F$10)*Datos!$K$6))))-W351</f>
        <v>0</v>
      </c>
      <c r="Q351" s="231">
        <f>IFERROR(VLOOKUP(C351,[1]Hoja1!$D$5:$E$58,2,FALSE),0)</f>
        <v>0</v>
      </c>
      <c r="R351" s="234"/>
      <c r="S351" s="234"/>
      <c r="T351" s="234"/>
      <c r="U351" s="234"/>
      <c r="V351" s="234">
        <v>25</v>
      </c>
      <c r="W351" s="231"/>
      <c r="X351" s="234">
        <f t="shared" si="41"/>
        <v>1088.8000000000002</v>
      </c>
      <c r="Y351" s="234">
        <f t="shared" si="37"/>
        <v>16911.2</v>
      </c>
      <c r="Z351" s="296" t="s">
        <v>289</v>
      </c>
      <c r="AA351" s="298">
        <v>44197</v>
      </c>
      <c r="AB351" s="235"/>
      <c r="AC351" s="264"/>
    </row>
    <row r="352" spans="1:29" s="236" customFormat="1" x14ac:dyDescent="0.25">
      <c r="A352" s="232"/>
      <c r="B352" s="302">
        <v>346</v>
      </c>
      <c r="C352" s="295" t="s">
        <v>529</v>
      </c>
      <c r="D352" s="232" t="s">
        <v>768</v>
      </c>
      <c r="E352" s="232" t="s">
        <v>85</v>
      </c>
      <c r="F352" s="232" t="s">
        <v>87</v>
      </c>
      <c r="G352" s="295">
        <v>1</v>
      </c>
      <c r="H352" s="296" t="s">
        <v>1502</v>
      </c>
      <c r="I352" s="297" t="s">
        <v>1060</v>
      </c>
      <c r="J352" s="232" t="s">
        <v>830</v>
      </c>
      <c r="K352" s="233">
        <f>48510+1490</f>
        <v>50000</v>
      </c>
      <c r="L352" s="284">
        <f>IF(K352&gt;=Datos!$D$14,(Datos!$D$14*Datos!$C$14),IF(K352&lt;=Datos!$D$14,(K352*Datos!$C$14)))</f>
        <v>1435</v>
      </c>
      <c r="M352" s="284">
        <f>IF(K352&gt;=Datos!$D$15,(Datos!$D$15*Datos!$C$15),IF(K352&lt;=Datos!$D$15,(K352*Datos!$C$15)))</f>
        <v>1520</v>
      </c>
      <c r="N352" s="231">
        <f>1715.46*2</f>
        <v>3430.92</v>
      </c>
      <c r="O352" s="231">
        <f t="shared" si="45"/>
        <v>43614.080000000002</v>
      </c>
      <c r="P352" s="223">
        <f>IF(O352&lt;=Datos!$G$7,"0",IF(O352&lt;=Datos!$G$8,(O352-Datos!$F$8)*Datos!$I$6,IF(O352&lt;=Datos!$G$9,Datos!$I$8+(O352-Datos!$F$9)*Datos!$J$6,IF(O352&gt;=Datos!$F$10,(Datos!$I$8+Datos!$J$8)+(O352-Datos!$F$10)*Datos!$K$6))))-W352</f>
        <v>1339.3605</v>
      </c>
      <c r="Q352" s="231">
        <f>IFERROR(VLOOKUP(C352,[1]Hoja1!$D$5:$E$58,2,FALSE),0)</f>
        <v>0</v>
      </c>
      <c r="R352" s="234"/>
      <c r="S352" s="234"/>
      <c r="T352" s="234"/>
      <c r="U352" s="234"/>
      <c r="V352" s="234">
        <v>25</v>
      </c>
      <c r="W352" s="231"/>
      <c r="X352" s="234">
        <f t="shared" si="41"/>
        <v>7750.2804999999998</v>
      </c>
      <c r="Y352" s="234">
        <f t="shared" si="37"/>
        <v>42249.719499999999</v>
      </c>
      <c r="Z352" s="296" t="s">
        <v>290</v>
      </c>
      <c r="AA352" s="298">
        <v>44197</v>
      </c>
      <c r="AB352" s="235"/>
      <c r="AC352" s="264"/>
    </row>
    <row r="353" spans="1:35" s="236" customFormat="1" x14ac:dyDescent="0.25">
      <c r="A353" s="232"/>
      <c r="B353" s="302">
        <v>347</v>
      </c>
      <c r="C353" s="295" t="s">
        <v>530</v>
      </c>
      <c r="D353" s="232" t="s">
        <v>769</v>
      </c>
      <c r="E353" s="232" t="s">
        <v>85</v>
      </c>
      <c r="F353" s="232" t="s">
        <v>87</v>
      </c>
      <c r="G353" s="295">
        <v>1</v>
      </c>
      <c r="H353" s="296" t="s">
        <v>1502</v>
      </c>
      <c r="I353" s="297" t="s">
        <v>1060</v>
      </c>
      <c r="J353" s="232" t="s">
        <v>947</v>
      </c>
      <c r="K353" s="233">
        <f>19800+10200+5000</f>
        <v>35000</v>
      </c>
      <c r="L353" s="284">
        <f>IF(K353&gt;=Datos!$D$14,(Datos!$D$14*Datos!$C$14),IF(K353&lt;=Datos!$D$14,(K353*Datos!$C$14)))</f>
        <v>1004.5</v>
      </c>
      <c r="M353" s="284">
        <f>IF(K353&gt;=Datos!$D$15,(Datos!$D$15*Datos!$C$15),IF(K353&lt;=Datos!$D$15,(K353*Datos!$C$15)))</f>
        <v>1064</v>
      </c>
      <c r="N353" s="231"/>
      <c r="O353" s="231">
        <f t="shared" si="45"/>
        <v>32931.5</v>
      </c>
      <c r="P353" s="223">
        <f>IF(O353&lt;=Datos!$G$7,"0",IF(O353&lt;=Datos!$G$8,(O353-Datos!$F$8)*Datos!$I$6,IF(O353&lt;=Datos!$G$9,Datos!$I$8+(O353-Datos!$F$9)*Datos!$J$6,IF(O353&gt;=Datos!$F$10,(Datos!$I$8+Datos!$J$8)+(O353-Datos!$F$10)*Datos!$K$6))))-W353</f>
        <v>0</v>
      </c>
      <c r="Q353" s="231">
        <f>IFERROR(VLOOKUP(C353,[1]Hoja1!$D$5:$E$58,2,FALSE),0)</f>
        <v>1000</v>
      </c>
      <c r="R353" s="234"/>
      <c r="S353" s="234"/>
      <c r="T353" s="234"/>
      <c r="U353" s="234"/>
      <c r="V353" s="234">
        <v>25</v>
      </c>
      <c r="W353" s="231"/>
      <c r="X353" s="234">
        <f t="shared" si="41"/>
        <v>3093.5</v>
      </c>
      <c r="Y353" s="234">
        <f t="shared" si="37"/>
        <v>31906.5</v>
      </c>
      <c r="Z353" s="296" t="s">
        <v>291</v>
      </c>
      <c r="AA353" s="298">
        <v>44197</v>
      </c>
      <c r="AB353" s="235"/>
      <c r="AC353" s="264"/>
    </row>
    <row r="354" spans="1:35" s="236" customFormat="1" x14ac:dyDescent="0.25">
      <c r="A354" s="232"/>
      <c r="B354" s="302">
        <v>348</v>
      </c>
      <c r="C354" s="295" t="s">
        <v>878</v>
      </c>
      <c r="D354" s="232" t="s">
        <v>879</v>
      </c>
      <c r="E354" s="232" t="s">
        <v>85</v>
      </c>
      <c r="F354" s="232" t="s">
        <v>87</v>
      </c>
      <c r="G354" s="295">
        <v>1</v>
      </c>
      <c r="H354" s="296" t="s">
        <v>1548</v>
      </c>
      <c r="I354" s="297" t="s">
        <v>1060</v>
      </c>
      <c r="J354" s="232" t="s">
        <v>833</v>
      </c>
      <c r="K354" s="233">
        <f>13860+4140</f>
        <v>18000</v>
      </c>
      <c r="L354" s="284">
        <f>IF(K354&gt;=Datos!$D$14,(Datos!$D$14*Datos!$C$14),IF(K354&lt;=Datos!$D$14,(K354*Datos!$C$14)))</f>
        <v>516.6</v>
      </c>
      <c r="M354" s="284">
        <f>IF(K354&gt;=Datos!$D$15,(Datos!$D$15*Datos!$C$15),IF(K354&lt;=Datos!$D$15,(K354*Datos!$C$15)))</f>
        <v>547.20000000000005</v>
      </c>
      <c r="N354" s="231"/>
      <c r="O354" s="231">
        <f t="shared" si="45"/>
        <v>16936.2</v>
      </c>
      <c r="P354" s="223">
        <f>IF(O354&lt;=Datos!$G$7,"0",IF(O354&lt;=Datos!$G$8,(O354-Datos!$F$8)*Datos!$I$6,IF(O354&lt;=Datos!$G$9,Datos!$I$8+(O354-Datos!$F$9)*Datos!$J$6,IF(O354&gt;=Datos!$F$10,(Datos!$I$8+Datos!$J$8)+(O354-Datos!$F$10)*Datos!$K$6))))-W354</f>
        <v>0</v>
      </c>
      <c r="Q354" s="231">
        <f>IFERROR(VLOOKUP(C354,[1]Hoja1!$D$5:$E$58,2,FALSE),0)</f>
        <v>2000</v>
      </c>
      <c r="R354" s="234"/>
      <c r="S354" s="234"/>
      <c r="T354" s="234"/>
      <c r="U354" s="234"/>
      <c r="V354" s="234">
        <v>25</v>
      </c>
      <c r="W354" s="231"/>
      <c r="X354" s="234">
        <f t="shared" si="41"/>
        <v>3088.8</v>
      </c>
      <c r="Y354" s="234">
        <f t="shared" si="37"/>
        <v>14911.2</v>
      </c>
      <c r="Z354" s="296" t="s">
        <v>886</v>
      </c>
      <c r="AA354" s="298"/>
      <c r="AB354" s="235"/>
      <c r="AC354" s="264"/>
      <c r="AE354" s="235"/>
      <c r="AF354" s="235"/>
      <c r="AG354" s="235"/>
      <c r="AH354" s="235"/>
      <c r="AI354" s="264">
        <f>+AH354-O354</f>
        <v>-16936.2</v>
      </c>
    </row>
    <row r="355" spans="1:35" s="236" customFormat="1" x14ac:dyDescent="0.25">
      <c r="A355" s="232"/>
      <c r="B355" s="302">
        <v>349</v>
      </c>
      <c r="C355" s="295" t="s">
        <v>531</v>
      </c>
      <c r="D355" s="232" t="s">
        <v>770</v>
      </c>
      <c r="E355" s="232" t="s">
        <v>85</v>
      </c>
      <c r="F355" s="232" t="s">
        <v>87</v>
      </c>
      <c r="G355" s="295">
        <v>5</v>
      </c>
      <c r="H355" s="296" t="s">
        <v>1210</v>
      </c>
      <c r="I355" s="297" t="s">
        <v>1060</v>
      </c>
      <c r="J355" s="232" t="s">
        <v>836</v>
      </c>
      <c r="K355" s="233">
        <v>80000</v>
      </c>
      <c r="L355" s="284">
        <f>IF(K355&gt;=Datos!$D$14,(Datos!$D$14*Datos!$C$14),IF(K355&lt;=Datos!$D$14,(K355*Datos!$C$14)))</f>
        <v>2296</v>
      </c>
      <c r="M355" s="284">
        <f>IF(K355&gt;=Datos!$D$15,(Datos!$D$15*Datos!$C$15),IF(K355&lt;=Datos!$D$15,(K355*Datos!$C$15)))</f>
        <v>2432</v>
      </c>
      <c r="N355" s="231"/>
      <c r="O355" s="231">
        <f t="shared" si="45"/>
        <v>75272</v>
      </c>
      <c r="P355" s="223">
        <f>IF(O355&lt;=Datos!$G$7,"0",IF(O355&lt;=Datos!$G$8,(O355-Datos!$F$8)*Datos!$I$6,IF(O355&lt;=Datos!$G$9,Datos!$I$8+(O355-Datos!$F$9)*Datos!$J$6,IF(O355&gt;=Datos!$F$10,(Datos!$I$8+Datos!$J$8)+(O355-Datos!$F$10)*Datos!$K$6))))-W355</f>
        <v>7400.8606666666674</v>
      </c>
      <c r="Q355" s="231">
        <f>IFERROR(VLOOKUP(C355,[1]Hoja1!$D$5:$E$58,2,FALSE),0)</f>
        <v>0</v>
      </c>
      <c r="R355" s="234"/>
      <c r="S355" s="234"/>
      <c r="T355" s="234"/>
      <c r="U355" s="234"/>
      <c r="V355" s="234">
        <v>25</v>
      </c>
      <c r="W355" s="231"/>
      <c r="X355" s="234">
        <f t="shared" si="41"/>
        <v>12153.860666666667</v>
      </c>
      <c r="Y355" s="234">
        <f t="shared" si="37"/>
        <v>67846.139333333325</v>
      </c>
      <c r="Z355" s="296" t="s">
        <v>292</v>
      </c>
      <c r="AA355" s="298">
        <v>35472</v>
      </c>
      <c r="AB355" s="235"/>
      <c r="AC355" s="264"/>
    </row>
    <row r="356" spans="1:35" s="236" customFormat="1" x14ac:dyDescent="0.25">
      <c r="A356" s="232"/>
      <c r="B356" s="302">
        <v>350</v>
      </c>
      <c r="C356" s="295" t="s">
        <v>532</v>
      </c>
      <c r="D356" s="232" t="s">
        <v>771</v>
      </c>
      <c r="E356" s="232" t="s">
        <v>85</v>
      </c>
      <c r="F356" s="232" t="s">
        <v>87</v>
      </c>
      <c r="G356" s="295">
        <v>5</v>
      </c>
      <c r="H356" s="296" t="s">
        <v>1210</v>
      </c>
      <c r="I356" s="297" t="s">
        <v>1062</v>
      </c>
      <c r="J356" s="232" t="s">
        <v>837</v>
      </c>
      <c r="K356" s="233">
        <v>67567.5</v>
      </c>
      <c r="L356" s="284">
        <f>IF(K356&gt;=Datos!$D$14,(Datos!$D$14*Datos!$C$14),IF(K356&lt;=Datos!$D$14,(K356*Datos!$C$14)))</f>
        <v>1939.1872499999999</v>
      </c>
      <c r="M356" s="284">
        <f>IF(K356&gt;=Datos!$D$15,(Datos!$D$15*Datos!$C$15),IF(K356&lt;=Datos!$D$15,(K356*Datos!$C$15)))</f>
        <v>2054.0520000000001</v>
      </c>
      <c r="N356" s="231"/>
      <c r="O356" s="231">
        <f t="shared" si="45"/>
        <v>63574.260750000001</v>
      </c>
      <c r="P356" s="223">
        <f>IF(O356&lt;=Datos!$G$7,"0",IF(O356&lt;=Datos!$G$8,(O356-Datos!$F$8)*Datos!$I$6,IF(O356&lt;=Datos!$G$9,Datos!$I$8+(O356-Datos!$F$9)*Datos!$J$6,IF(O356&gt;=Datos!$F$10,(Datos!$I$8+Datos!$J$8)+(O356-Datos!$F$10)*Datos!$K$6))))-W356</f>
        <v>4910.7278166666665</v>
      </c>
      <c r="Q356" s="231">
        <f>IFERROR(VLOOKUP(C356,[1]Hoja1!$D$5:$E$58,2,FALSE),0)</f>
        <v>0</v>
      </c>
      <c r="R356" s="234"/>
      <c r="S356" s="234"/>
      <c r="T356" s="234"/>
      <c r="U356" s="234"/>
      <c r="V356" s="234">
        <v>25</v>
      </c>
      <c r="W356" s="231"/>
      <c r="X356" s="234">
        <f t="shared" si="41"/>
        <v>8928.9670666666661</v>
      </c>
      <c r="Y356" s="234">
        <f t="shared" si="37"/>
        <v>58638.532933333336</v>
      </c>
      <c r="Z356" s="296" t="s">
        <v>293</v>
      </c>
      <c r="AA356" s="298">
        <v>44197</v>
      </c>
      <c r="AB356" s="235"/>
      <c r="AC356" s="264"/>
    </row>
    <row r="357" spans="1:35" s="236" customFormat="1" x14ac:dyDescent="0.25">
      <c r="A357" s="232"/>
      <c r="B357" s="302">
        <v>351</v>
      </c>
      <c r="C357" s="295" t="s">
        <v>1046</v>
      </c>
      <c r="D357" s="232" t="s">
        <v>1043</v>
      </c>
      <c r="E357" s="232" t="s">
        <v>86</v>
      </c>
      <c r="F357" s="232" t="s">
        <v>87</v>
      </c>
      <c r="G357" s="295">
        <v>5</v>
      </c>
      <c r="H357" s="296" t="s">
        <v>1210</v>
      </c>
      <c r="I357" s="297" t="s">
        <v>1062</v>
      </c>
      <c r="J357" s="232" t="s">
        <v>1049</v>
      </c>
      <c r="K357" s="233">
        <f>25000+10000</f>
        <v>35000</v>
      </c>
      <c r="L357" s="284">
        <f>IF(K357&gt;=Datos!$D$14,(Datos!$D$14*Datos!$C$14),IF(K357&lt;=Datos!$D$14,(K357*Datos!$C$14)))</f>
        <v>1004.5</v>
      </c>
      <c r="M357" s="284">
        <f>IF(K357&gt;=Datos!$D$15,(Datos!$D$15*Datos!$C$15),IF(K357&lt;=Datos!$D$15,(K357*Datos!$C$15)))</f>
        <v>1064</v>
      </c>
      <c r="N357" s="231"/>
      <c r="O357" s="231">
        <f t="shared" si="45"/>
        <v>32931.5</v>
      </c>
      <c r="P357" s="223">
        <f>IF(O357&lt;=Datos!$G$7,"0",IF(O357&lt;=Datos!$G$8,(O357-Datos!$F$8)*Datos!$I$6,IF(O357&lt;=Datos!$G$9,Datos!$I$8+(O357-Datos!$F$9)*Datos!$J$6,IF(O357&gt;=Datos!$F$10,(Datos!$I$8+Datos!$J$8)+(O357-Datos!$F$10)*Datos!$K$6))))-W357</f>
        <v>0</v>
      </c>
      <c r="Q357" s="231">
        <f>IFERROR(VLOOKUP(C357,[1]Hoja1!$D$5:$E$58,2,FALSE),0)</f>
        <v>0</v>
      </c>
      <c r="R357" s="234"/>
      <c r="S357" s="234"/>
      <c r="T357" s="234"/>
      <c r="U357" s="234"/>
      <c r="V357" s="234">
        <v>25</v>
      </c>
      <c r="W357" s="231"/>
      <c r="X357" s="234">
        <f t="shared" si="41"/>
        <v>2093.5</v>
      </c>
      <c r="Y357" s="234">
        <f t="shared" ref="Y357:Y429" si="52">+K357-X357</f>
        <v>32906.5</v>
      </c>
      <c r="Z357" s="296"/>
      <c r="AA357" s="298">
        <v>44805</v>
      </c>
      <c r="AB357" s="235"/>
      <c r="AC357" s="264"/>
    </row>
    <row r="358" spans="1:35" s="236" customFormat="1" x14ac:dyDescent="0.25">
      <c r="A358" s="232"/>
      <c r="B358" s="302">
        <v>352</v>
      </c>
      <c r="C358" s="295" t="s">
        <v>1653</v>
      </c>
      <c r="D358" s="232" t="s">
        <v>1654</v>
      </c>
      <c r="E358" s="232" t="s">
        <v>85</v>
      </c>
      <c r="F358" s="232" t="s">
        <v>87</v>
      </c>
      <c r="G358" s="295">
        <v>1</v>
      </c>
      <c r="H358" s="296" t="s">
        <v>1828</v>
      </c>
      <c r="I358" s="297" t="s">
        <v>1067</v>
      </c>
      <c r="J358" s="232" t="s">
        <v>1274</v>
      </c>
      <c r="K358" s="233">
        <v>30000</v>
      </c>
      <c r="L358" s="284">
        <f>IF(K358&gt;=Datos!$D$14,(Datos!$D$14*Datos!$C$14),IF(K358&lt;=Datos!$D$14,(K358*Datos!$C$14)))</f>
        <v>861</v>
      </c>
      <c r="M358" s="284">
        <f>IF(K358&gt;=Datos!$D$15,(Datos!$D$15*Datos!$C$15),IF(K358&lt;=Datos!$D$15,(K358*Datos!$C$15)))</f>
        <v>912</v>
      </c>
      <c r="N358" s="231"/>
      <c r="O358" s="231">
        <f t="shared" si="45"/>
        <v>28227</v>
      </c>
      <c r="P358" s="223">
        <f>IF(O358&lt;=Datos!$G$7,"0",IF(O358&lt;=Datos!$G$8,(O358-Datos!$F$8)*Datos!$I$6,IF(O358&lt;=Datos!$G$9,Datos!$I$8+(O358-Datos!$F$9)*Datos!$J$6,IF(O358&gt;=Datos!$F$10,(Datos!$I$8+Datos!$J$8)+(O358-Datos!$F$10)*Datos!$K$6))))-W358</f>
        <v>0</v>
      </c>
      <c r="Q358" s="231">
        <v>0</v>
      </c>
      <c r="R358" s="234"/>
      <c r="S358" s="234"/>
      <c r="T358" s="234"/>
      <c r="U358" s="234"/>
      <c r="V358" s="234">
        <v>25</v>
      </c>
      <c r="W358" s="231"/>
      <c r="X358" s="234">
        <f t="shared" si="41"/>
        <v>1798</v>
      </c>
      <c r="Y358" s="234">
        <f t="shared" si="52"/>
        <v>28202</v>
      </c>
      <c r="Z358" s="296">
        <v>9607502531</v>
      </c>
      <c r="AA358" s="298">
        <v>45536</v>
      </c>
      <c r="AB358" s="235"/>
      <c r="AC358" s="264"/>
    </row>
    <row r="359" spans="1:35" s="236" customFormat="1" x14ac:dyDescent="0.25">
      <c r="A359" s="232"/>
      <c r="B359" s="302">
        <v>353</v>
      </c>
      <c r="C359" s="295" t="s">
        <v>1065</v>
      </c>
      <c r="D359" s="232" t="s">
        <v>1066</v>
      </c>
      <c r="E359" s="232" t="s">
        <v>85</v>
      </c>
      <c r="F359" s="232" t="s">
        <v>87</v>
      </c>
      <c r="G359" s="295">
        <v>5</v>
      </c>
      <c r="H359" s="296" t="s">
        <v>1662</v>
      </c>
      <c r="I359" s="297" t="s">
        <v>1067</v>
      </c>
      <c r="J359" s="232" t="s">
        <v>972</v>
      </c>
      <c r="K359" s="233">
        <v>60000</v>
      </c>
      <c r="L359" s="284">
        <f>IF(K359&gt;=Datos!$D$14,(Datos!$D$14*Datos!$C$14),IF(K359&lt;=Datos!$D$14,(K359*Datos!$C$14)))</f>
        <v>1722</v>
      </c>
      <c r="M359" s="284">
        <f>IF(K359&gt;=Datos!$D$15,(Datos!$D$15*Datos!$C$15),IF(K359&lt;=Datos!$D$15,(K359*Datos!$C$15)))</f>
        <v>1824</v>
      </c>
      <c r="N359" s="231"/>
      <c r="O359" s="231">
        <f t="shared" si="45"/>
        <v>56454</v>
      </c>
      <c r="P359" s="223">
        <f>IF(O359&lt;=Datos!$G$7,"0",IF(O359&lt;=Datos!$G$8,(O359-Datos!$F$8)*Datos!$I$6,IF(O359&lt;=Datos!$G$9,Datos!$I$8+(O359-Datos!$F$9)*Datos!$J$6,IF(O359&gt;=Datos!$F$10,(Datos!$I$8+Datos!$J$8)+(O359-Datos!$F$10)*Datos!$K$6))))-W359</f>
        <v>3486.6756666666661</v>
      </c>
      <c r="Q359" s="231">
        <f>IFERROR(VLOOKUP(C359,[1]Hoja1!$D$5:$E$58,2,FALSE),0)</f>
        <v>0</v>
      </c>
      <c r="R359" s="234"/>
      <c r="S359" s="234"/>
      <c r="T359" s="234"/>
      <c r="U359" s="234"/>
      <c r="V359" s="234">
        <v>25</v>
      </c>
      <c r="W359" s="231"/>
      <c r="X359" s="234">
        <f t="shared" ref="X359:X429" si="53">SUM(P359:V359)+(L359+M359+N359)-W359</f>
        <v>7057.6756666666661</v>
      </c>
      <c r="Y359" s="234">
        <f t="shared" si="52"/>
        <v>52942.324333333338</v>
      </c>
      <c r="Z359" s="296"/>
      <c r="AA359" s="298">
        <v>44835</v>
      </c>
      <c r="AB359" s="235"/>
      <c r="AC359" s="264"/>
    </row>
    <row r="360" spans="1:35" s="236" customFormat="1" x14ac:dyDescent="0.25">
      <c r="A360" s="232"/>
      <c r="B360" s="302">
        <v>354</v>
      </c>
      <c r="C360" s="295" t="s">
        <v>533</v>
      </c>
      <c r="D360" s="232" t="s">
        <v>772</v>
      </c>
      <c r="E360" s="232" t="s">
        <v>86</v>
      </c>
      <c r="F360" s="232" t="s">
        <v>87</v>
      </c>
      <c r="G360" s="295">
        <v>5</v>
      </c>
      <c r="H360" s="296" t="s">
        <v>1210</v>
      </c>
      <c r="I360" s="297" t="s">
        <v>1062</v>
      </c>
      <c r="J360" s="232" t="s">
        <v>837</v>
      </c>
      <c r="K360" s="233">
        <f>64350+650</f>
        <v>65000</v>
      </c>
      <c r="L360" s="284">
        <f>IF(K360&gt;=Datos!$D$14,(Datos!$D$14*Datos!$C$14),IF(K360&lt;=Datos!$D$14,(K360*Datos!$C$14)))</f>
        <v>1865.5</v>
      </c>
      <c r="M360" s="284">
        <f>IF(K360&gt;=Datos!$D$15,(Datos!$D$15*Datos!$C$15),IF(K360&lt;=Datos!$D$15,(K360*Datos!$C$15)))</f>
        <v>1976</v>
      </c>
      <c r="N360" s="231">
        <f>1715.46*2</f>
        <v>3430.92</v>
      </c>
      <c r="O360" s="231">
        <f t="shared" si="45"/>
        <v>57727.58</v>
      </c>
      <c r="P360" s="223">
        <f>IF(O360&lt;=Datos!$G$7,"0",IF(O360&lt;=Datos!$G$8,(O360-Datos!$F$8)*Datos!$I$6,IF(O360&lt;=Datos!$G$9,Datos!$I$8+(O360-Datos!$F$9)*Datos!$J$6,IF(O360&gt;=Datos!$F$10,(Datos!$I$8+Datos!$J$8)+(O360-Datos!$F$10)*Datos!$K$6))))-W360</f>
        <v>3741.3916666666664</v>
      </c>
      <c r="Q360" s="231">
        <f>IFERROR(VLOOKUP(C360,[1]Hoja1!$D$5:$E$58,2,FALSE),0)</f>
        <v>0</v>
      </c>
      <c r="R360" s="234"/>
      <c r="S360" s="234"/>
      <c r="T360" s="234"/>
      <c r="U360" s="234"/>
      <c r="V360" s="234">
        <v>25</v>
      </c>
      <c r="W360" s="231"/>
      <c r="X360" s="234">
        <f t="shared" si="53"/>
        <v>11038.811666666666</v>
      </c>
      <c r="Y360" s="234">
        <f t="shared" si="52"/>
        <v>53961.188333333332</v>
      </c>
      <c r="Z360" s="296" t="s">
        <v>294</v>
      </c>
      <c r="AA360" s="298">
        <v>44197</v>
      </c>
      <c r="AB360" s="235"/>
      <c r="AC360" s="264"/>
    </row>
    <row r="361" spans="1:35" s="236" customFormat="1" x14ac:dyDescent="0.25">
      <c r="A361" s="232"/>
      <c r="B361" s="302">
        <v>355</v>
      </c>
      <c r="C361" s="295" t="s">
        <v>534</v>
      </c>
      <c r="D361" s="232" t="s">
        <v>773</v>
      </c>
      <c r="E361" s="232" t="s">
        <v>86</v>
      </c>
      <c r="F361" s="232" t="s">
        <v>87</v>
      </c>
      <c r="G361" s="295">
        <v>4</v>
      </c>
      <c r="H361" s="296" t="s">
        <v>1211</v>
      </c>
      <c r="I361" s="297" t="s">
        <v>1062</v>
      </c>
      <c r="J361" s="232" t="s">
        <v>859</v>
      </c>
      <c r="K361" s="233">
        <v>65000</v>
      </c>
      <c r="L361" s="284">
        <f>IF(K361&gt;=Datos!$D$14,(Datos!$D$14*Datos!$C$14),IF(K361&lt;=Datos!$D$14,(K361*Datos!$C$14)))</f>
        <v>1865.5</v>
      </c>
      <c r="M361" s="284">
        <f>IF(K361&gt;=Datos!$D$15,(Datos!$D$15*Datos!$C$15),IF(K361&lt;=Datos!$D$15,(K361*Datos!$C$15)))</f>
        <v>1976</v>
      </c>
      <c r="N361" s="231"/>
      <c r="O361" s="231">
        <f t="shared" si="45"/>
        <v>61158.5</v>
      </c>
      <c r="P361" s="223">
        <f>IF(O361&lt;=Datos!$G$7,"0",IF(O361&lt;=Datos!$G$8,(O361-Datos!$F$8)*Datos!$I$6,IF(O361&lt;=Datos!$G$9,Datos!$I$8+(O361-Datos!$F$9)*Datos!$J$6,IF(O361&gt;=Datos!$F$10,(Datos!$I$8+Datos!$J$8)+(O361-Datos!$F$10)*Datos!$K$6))))-W361</f>
        <v>4427.5756666666657</v>
      </c>
      <c r="Q361" s="231">
        <f>IFERROR(VLOOKUP(C361,[1]Hoja1!$D$5:$E$58,2,FALSE),0)</f>
        <v>0</v>
      </c>
      <c r="R361" s="234"/>
      <c r="S361" s="234"/>
      <c r="T361" s="234"/>
      <c r="U361" s="234"/>
      <c r="V361" s="234">
        <v>25</v>
      </c>
      <c r="W361" s="231"/>
      <c r="X361" s="234">
        <f t="shared" si="53"/>
        <v>8294.0756666666657</v>
      </c>
      <c r="Y361" s="234">
        <f t="shared" si="52"/>
        <v>56705.924333333336</v>
      </c>
      <c r="Z361" s="296" t="s">
        <v>295</v>
      </c>
      <c r="AA361" s="298">
        <v>41030</v>
      </c>
      <c r="AB361" s="235"/>
      <c r="AC361" s="264"/>
    </row>
    <row r="362" spans="1:35" s="236" customFormat="1" x14ac:dyDescent="0.25">
      <c r="A362" s="232"/>
      <c r="B362" s="302">
        <v>356</v>
      </c>
      <c r="C362" s="295" t="s">
        <v>535</v>
      </c>
      <c r="D362" s="232" t="s">
        <v>774</v>
      </c>
      <c r="E362" s="232" t="s">
        <v>85</v>
      </c>
      <c r="F362" s="232" t="s">
        <v>87</v>
      </c>
      <c r="G362" s="295">
        <v>1</v>
      </c>
      <c r="H362" s="296" t="s">
        <v>1548</v>
      </c>
      <c r="I362" s="297" t="s">
        <v>1060</v>
      </c>
      <c r="J362" s="232" t="s">
        <v>833</v>
      </c>
      <c r="K362" s="233">
        <f>13860+4140</f>
        <v>18000</v>
      </c>
      <c r="L362" s="284">
        <f>IF(K362&gt;=Datos!$D$14,(Datos!$D$14*Datos!$C$14),IF(K362&lt;=Datos!$D$14,(K362*Datos!$C$14)))</f>
        <v>516.6</v>
      </c>
      <c r="M362" s="284">
        <f>IF(K362&gt;=Datos!$D$15,(Datos!$D$15*Datos!$C$15),IF(K362&lt;=Datos!$D$15,(K362*Datos!$C$15)))</f>
        <v>547.20000000000005</v>
      </c>
      <c r="N362" s="231"/>
      <c r="O362" s="231">
        <f t="shared" si="45"/>
        <v>16936.2</v>
      </c>
      <c r="P362" s="223">
        <f>IF(O362&lt;=Datos!$G$7,"0",IF(O362&lt;=Datos!$G$8,(O362-Datos!$F$8)*Datos!$I$6,IF(O362&lt;=Datos!$G$9,Datos!$I$8+(O362-Datos!$F$9)*Datos!$J$6,IF(O362&gt;=Datos!$F$10,(Datos!$I$8+Datos!$J$8)+(O362-Datos!$F$10)*Datos!$K$6))))-W362</f>
        <v>0</v>
      </c>
      <c r="Q362" s="231">
        <f>IFERROR(VLOOKUP(C362,[1]Hoja1!$D$5:$E$58,2,FALSE),0)</f>
        <v>0</v>
      </c>
      <c r="R362" s="234"/>
      <c r="S362" s="234"/>
      <c r="T362" s="234"/>
      <c r="U362" s="234"/>
      <c r="V362" s="234">
        <v>25</v>
      </c>
      <c r="W362" s="231"/>
      <c r="X362" s="234">
        <f t="shared" si="53"/>
        <v>1088.8000000000002</v>
      </c>
      <c r="Y362" s="234">
        <f t="shared" si="52"/>
        <v>16911.2</v>
      </c>
      <c r="Z362" s="296" t="s">
        <v>296</v>
      </c>
      <c r="AA362" s="298">
        <v>44197</v>
      </c>
      <c r="AB362" s="235"/>
      <c r="AC362" s="264"/>
    </row>
    <row r="363" spans="1:35" s="236" customFormat="1" x14ac:dyDescent="0.25">
      <c r="A363" s="232"/>
      <c r="B363" s="302">
        <v>357</v>
      </c>
      <c r="C363" s="295" t="s">
        <v>1613</v>
      </c>
      <c r="D363" s="232" t="s">
        <v>1614</v>
      </c>
      <c r="E363" s="232" t="s">
        <v>85</v>
      </c>
      <c r="F363" s="232" t="s">
        <v>87</v>
      </c>
      <c r="G363" s="295">
        <v>5</v>
      </c>
      <c r="H363" s="296" t="s">
        <v>1662</v>
      </c>
      <c r="I363" s="297" t="s">
        <v>1060</v>
      </c>
      <c r="J363" s="232" t="s">
        <v>972</v>
      </c>
      <c r="K363" s="233">
        <v>60000</v>
      </c>
      <c r="L363" s="284">
        <f>IF(K363&gt;=Datos!$D$14,(Datos!$D$14*Datos!$C$14),IF(K363&lt;=Datos!$D$14,(K363*Datos!$C$14)))</f>
        <v>1722</v>
      </c>
      <c r="M363" s="284">
        <f>IF(K363&gt;=Datos!$D$15,(Datos!$D$15*Datos!$C$15),IF(K363&lt;=Datos!$D$15,(K363*Datos!$C$15)))</f>
        <v>1824</v>
      </c>
      <c r="N363" s="231"/>
      <c r="O363" s="231">
        <f t="shared" si="45"/>
        <v>56454</v>
      </c>
      <c r="P363" s="223">
        <f>IF(O363&lt;=Datos!$G$7,"0",IF(O363&lt;=Datos!$G$8,(O363-Datos!$F$8)*Datos!$I$6,IF(O363&lt;=Datos!$G$9,Datos!$I$8+(O363-Datos!$F$9)*Datos!$J$6,IF(O363&gt;=Datos!$F$10,(Datos!$I$8+Datos!$J$8)+(O363-Datos!$F$10)*Datos!$K$6))))-W363</f>
        <v>3486.6756666666661</v>
      </c>
      <c r="Q363" s="231">
        <f>IFERROR(VLOOKUP(C363,[1]Hoja1!$D$5:$E$58,2,FALSE),0)</f>
        <v>0</v>
      </c>
      <c r="R363" s="234"/>
      <c r="S363" s="234"/>
      <c r="T363" s="234"/>
      <c r="U363" s="234"/>
      <c r="V363" s="234">
        <v>25</v>
      </c>
      <c r="W363" s="231"/>
      <c r="X363" s="234">
        <f t="shared" si="53"/>
        <v>7057.6756666666661</v>
      </c>
      <c r="Y363" s="234">
        <f t="shared" si="52"/>
        <v>52942.324333333338</v>
      </c>
      <c r="Z363" s="296">
        <v>9607405785</v>
      </c>
      <c r="AA363" s="298">
        <v>45536</v>
      </c>
      <c r="AB363" s="235"/>
      <c r="AC363" s="264"/>
    </row>
    <row r="364" spans="1:35" s="236" customFormat="1" x14ac:dyDescent="0.25">
      <c r="A364" s="232"/>
      <c r="B364" s="302">
        <v>358</v>
      </c>
      <c r="C364" s="295" t="s">
        <v>536</v>
      </c>
      <c r="D364" s="232" t="s">
        <v>775</v>
      </c>
      <c r="E364" s="232" t="s">
        <v>85</v>
      </c>
      <c r="F364" s="232" t="s">
        <v>87</v>
      </c>
      <c r="G364" s="295">
        <v>5</v>
      </c>
      <c r="H364" s="296" t="s">
        <v>1210</v>
      </c>
      <c r="I364" s="297" t="s">
        <v>1062</v>
      </c>
      <c r="J364" s="232" t="s">
        <v>837</v>
      </c>
      <c r="K364" s="233">
        <v>67567</v>
      </c>
      <c r="L364" s="284">
        <f>IF(K364&gt;=Datos!$D$14,(Datos!$D$14*Datos!$C$14),IF(K364&lt;=Datos!$D$14,(K364*Datos!$C$14)))</f>
        <v>1939.1729</v>
      </c>
      <c r="M364" s="284">
        <f>IF(K364&gt;=Datos!$D$15,(Datos!$D$15*Datos!$C$15),IF(K364&lt;=Datos!$D$15,(K364*Datos!$C$15)))</f>
        <v>2054.0367999999999</v>
      </c>
      <c r="N364" s="231"/>
      <c r="O364" s="231">
        <f t="shared" si="45"/>
        <v>63573.790300000001</v>
      </c>
      <c r="P364" s="223">
        <f>IF(O364&lt;=Datos!$G$7,"0",IF(O364&lt;=Datos!$G$8,(O364-Datos!$F$8)*Datos!$I$6,IF(O364&lt;=Datos!$G$9,Datos!$I$8+(O364-Datos!$F$9)*Datos!$J$6,IF(O364&gt;=Datos!$F$10,(Datos!$I$8+Datos!$J$8)+(O364-Datos!$F$10)*Datos!$K$6))))-W364</f>
        <v>4910.6337266666669</v>
      </c>
      <c r="Q364" s="231">
        <f>IFERROR(VLOOKUP(C364,[1]Hoja1!$D$5:$E$58,2,FALSE),0)</f>
        <v>0</v>
      </c>
      <c r="R364" s="234"/>
      <c r="S364" s="234"/>
      <c r="T364" s="234"/>
      <c r="U364" s="234"/>
      <c r="V364" s="234">
        <v>25</v>
      </c>
      <c r="W364" s="231"/>
      <c r="X364" s="234">
        <f t="shared" si="53"/>
        <v>8928.8434266666663</v>
      </c>
      <c r="Y364" s="234">
        <f t="shared" si="52"/>
        <v>58638.156573333334</v>
      </c>
      <c r="Z364" s="296" t="s">
        <v>297</v>
      </c>
      <c r="AA364" s="298">
        <v>44197</v>
      </c>
      <c r="AB364" s="235"/>
      <c r="AC364" s="264"/>
    </row>
    <row r="365" spans="1:35" s="236" customFormat="1" x14ac:dyDescent="0.25">
      <c r="A365" s="232"/>
      <c r="B365" s="302">
        <v>359</v>
      </c>
      <c r="C365" s="295" t="s">
        <v>1643</v>
      </c>
      <c r="D365" s="232" t="s">
        <v>1644</v>
      </c>
      <c r="E365" s="232" t="s">
        <v>85</v>
      </c>
      <c r="F365" s="232" t="s">
        <v>87</v>
      </c>
      <c r="G365" s="295">
        <v>5</v>
      </c>
      <c r="H365" s="296" t="s">
        <v>1383</v>
      </c>
      <c r="I365" s="297" t="s">
        <v>1062</v>
      </c>
      <c r="J365" s="232" t="s">
        <v>1520</v>
      </c>
      <c r="K365" s="233">
        <v>35000</v>
      </c>
      <c r="L365" s="284">
        <f>IF(K365&gt;=Datos!$D$14,(Datos!$D$14*Datos!$C$14),IF(K365&lt;=Datos!$D$14,(K365*Datos!$C$14)))</f>
        <v>1004.5</v>
      </c>
      <c r="M365" s="284">
        <f>IF(K365&gt;=Datos!$D$15,(Datos!$D$15*Datos!$C$15),IF(K365&lt;=Datos!$D$15,(K365*Datos!$C$15)))</f>
        <v>1064</v>
      </c>
      <c r="N365" s="231"/>
      <c r="O365" s="231">
        <f t="shared" si="45"/>
        <v>32931.5</v>
      </c>
      <c r="P365" s="223">
        <f>IF(O365&lt;=Datos!$G$7,"0",IF(O365&lt;=Datos!$G$8,(O365-Datos!$F$8)*Datos!$I$6,IF(O365&lt;=Datos!$G$9,Datos!$I$8+(O365-Datos!$F$9)*Datos!$J$6,IF(O365&gt;=Datos!$F$10,(Datos!$I$8+Datos!$J$8)+(O365-Datos!$F$10)*Datos!$K$6))))-W365</f>
        <v>0</v>
      </c>
      <c r="Q365" s="231">
        <f>IFERROR(VLOOKUP(C365,[1]Hoja1!$D$5:$E$58,2,FALSE),0)</f>
        <v>0</v>
      </c>
      <c r="R365" s="234"/>
      <c r="S365" s="234"/>
      <c r="T365" s="234"/>
      <c r="U365" s="234"/>
      <c r="V365" s="234">
        <v>25</v>
      </c>
      <c r="W365" s="231"/>
      <c r="X365" s="234">
        <f t="shared" si="53"/>
        <v>2093.5</v>
      </c>
      <c r="Y365" s="234">
        <f t="shared" si="52"/>
        <v>32906.5</v>
      </c>
      <c r="Z365" s="296">
        <v>9607405790</v>
      </c>
      <c r="AA365" s="298">
        <v>45536</v>
      </c>
      <c r="AB365" s="235"/>
      <c r="AC365" s="264"/>
    </row>
    <row r="366" spans="1:35" s="236" customFormat="1" x14ac:dyDescent="0.25">
      <c r="A366" s="232"/>
      <c r="B366" s="302">
        <v>360</v>
      </c>
      <c r="C366" s="295" t="s">
        <v>537</v>
      </c>
      <c r="D366" s="232" t="s">
        <v>776</v>
      </c>
      <c r="E366" s="232" t="s">
        <v>85</v>
      </c>
      <c r="F366" s="232" t="s">
        <v>87</v>
      </c>
      <c r="G366" s="295">
        <v>4</v>
      </c>
      <c r="H366" s="296" t="s">
        <v>1209</v>
      </c>
      <c r="I366" s="297" t="s">
        <v>1060</v>
      </c>
      <c r="J366" s="232" t="s">
        <v>837</v>
      </c>
      <c r="K366" s="233">
        <v>71662.5</v>
      </c>
      <c r="L366" s="284">
        <f>IF(K366&gt;=Datos!$D$14,(Datos!$D$14*Datos!$C$14),IF(K366&lt;=Datos!$D$14,(K366*Datos!$C$14)))</f>
        <v>2056.7137499999999</v>
      </c>
      <c r="M366" s="284">
        <f>IF(K366&gt;=Datos!$D$15,(Datos!$D$15*Datos!$C$15),IF(K366&lt;=Datos!$D$15,(K366*Datos!$C$15)))</f>
        <v>2178.54</v>
      </c>
      <c r="N366" s="231"/>
      <c r="O366" s="231">
        <f t="shared" si="45"/>
        <v>67427.246249999997</v>
      </c>
      <c r="P366" s="223">
        <f>IF(O366&lt;=Datos!$G$7,"0",IF(O366&lt;=Datos!$G$8,(O366-Datos!$F$8)*Datos!$I$6,IF(O366&lt;=Datos!$G$9,Datos!$I$8+(O366-Datos!$F$9)*Datos!$J$6,IF(O366&gt;=Datos!$F$10,(Datos!$I$8+Datos!$J$8)+(O366-Datos!$F$10)*Datos!$K$6))))-W366</f>
        <v>5681.3249166666656</v>
      </c>
      <c r="Q366" s="231">
        <f>IFERROR(VLOOKUP(C366,[1]Hoja1!$D$5:$E$58,2,FALSE),0)</f>
        <v>0</v>
      </c>
      <c r="R366" s="234"/>
      <c r="S366" s="234"/>
      <c r="T366" s="234"/>
      <c r="U366" s="234"/>
      <c r="V366" s="234">
        <v>25</v>
      </c>
      <c r="W366" s="231"/>
      <c r="X366" s="234">
        <f t="shared" si="53"/>
        <v>9941.5786666666645</v>
      </c>
      <c r="Y366" s="234">
        <f t="shared" si="52"/>
        <v>61720.921333333332</v>
      </c>
      <c r="Z366" s="296" t="s">
        <v>298</v>
      </c>
      <c r="AA366" s="298">
        <v>44197</v>
      </c>
      <c r="AB366" s="235"/>
      <c r="AC366" s="264"/>
    </row>
    <row r="367" spans="1:35" s="236" customFormat="1" x14ac:dyDescent="0.25">
      <c r="A367" s="232"/>
      <c r="B367" s="302">
        <v>361</v>
      </c>
      <c r="C367" s="295" t="s">
        <v>1119</v>
      </c>
      <c r="D367" s="232" t="s">
        <v>1120</v>
      </c>
      <c r="E367" s="232" t="s">
        <v>85</v>
      </c>
      <c r="F367" s="232" t="s">
        <v>87</v>
      </c>
      <c r="G367" s="295">
        <v>4</v>
      </c>
      <c r="H367" s="296" t="s">
        <v>1211</v>
      </c>
      <c r="I367" s="297" t="s">
        <v>1067</v>
      </c>
      <c r="J367" s="232" t="s">
        <v>1019</v>
      </c>
      <c r="K367" s="233">
        <v>55000</v>
      </c>
      <c r="L367" s="284">
        <f>IF(K367&gt;=Datos!$D$14,(Datos!$D$14*Datos!$C$14),IF(K367&lt;=Datos!$D$14,(K367*Datos!$C$14)))</f>
        <v>1578.5</v>
      </c>
      <c r="M367" s="284">
        <f>IF(K367&gt;=Datos!$D$15,(Datos!$D$15*Datos!$C$15),IF(K367&lt;=Datos!$D$15,(K367*Datos!$C$15)))</f>
        <v>1672</v>
      </c>
      <c r="N367" s="231"/>
      <c r="O367" s="231">
        <f t="shared" si="45"/>
        <v>51749.5</v>
      </c>
      <c r="P367" s="223">
        <f>IF(O367&lt;=Datos!$G$7,"0",IF(O367&lt;=Datos!$G$8,(O367-Datos!$F$8)*Datos!$I$6,IF(O367&lt;=Datos!$G$9,Datos!$I$8+(O367-Datos!$F$9)*Datos!$J$6,IF(O367&gt;=Datos!$F$10,(Datos!$I$8+Datos!$J$8)+(O367-Datos!$F$10)*Datos!$K$6))))-W367</f>
        <v>2559.6734999999994</v>
      </c>
      <c r="Q367" s="231">
        <f>IFERROR(VLOOKUP(C367,[1]Hoja1!$D$5:$E$58,2,FALSE),0)</f>
        <v>0</v>
      </c>
      <c r="R367" s="234"/>
      <c r="S367" s="234"/>
      <c r="T367" s="234"/>
      <c r="U367" s="234"/>
      <c r="V367" s="234">
        <v>25</v>
      </c>
      <c r="W367" s="231"/>
      <c r="X367" s="234">
        <f t="shared" si="53"/>
        <v>5835.173499999999</v>
      </c>
      <c r="Y367" s="234">
        <f t="shared" si="52"/>
        <v>49164.826500000003</v>
      </c>
      <c r="Z367" s="296"/>
      <c r="AA367" s="298">
        <v>44866</v>
      </c>
      <c r="AB367" s="235"/>
      <c r="AC367" s="264"/>
    </row>
    <row r="368" spans="1:35" s="236" customFormat="1" x14ac:dyDescent="0.25">
      <c r="A368" s="232"/>
      <c r="B368" s="302">
        <v>362</v>
      </c>
      <c r="C368" s="295" t="s">
        <v>538</v>
      </c>
      <c r="D368" s="232" t="s">
        <v>777</v>
      </c>
      <c r="E368" s="232" t="s">
        <v>85</v>
      </c>
      <c r="F368" s="232" t="s">
        <v>87</v>
      </c>
      <c r="G368" s="295">
        <v>1</v>
      </c>
      <c r="H368" s="296" t="s">
        <v>1217</v>
      </c>
      <c r="I368" s="297" t="s">
        <v>1061</v>
      </c>
      <c r="J368" s="232" t="s">
        <v>855</v>
      </c>
      <c r="K368" s="233">
        <v>60000</v>
      </c>
      <c r="L368" s="284">
        <f>IF(K368&gt;=Datos!$D$14,(Datos!$D$14*Datos!$C$14),IF(K368&lt;=Datos!$D$14,(K368*Datos!$C$14)))</f>
        <v>1722</v>
      </c>
      <c r="M368" s="284">
        <f>IF(K368&gt;=Datos!$D$15,(Datos!$D$15*Datos!$C$15),IF(K368&lt;=Datos!$D$15,(K368*Datos!$C$15)))</f>
        <v>1824</v>
      </c>
      <c r="N368" s="231"/>
      <c r="O368" s="231">
        <f>K368-(L368+M368+N368)</f>
        <v>56454</v>
      </c>
      <c r="P368" s="223">
        <f>IF(O368&lt;=Datos!$G$7,"0",IF(O368&lt;=Datos!$G$8,(O368-Datos!$F$8)*Datos!$I$6,IF(O368&lt;=Datos!$G$9,Datos!$I$8+(O368-Datos!$F$9)*Datos!$J$6,IF(O368&gt;=Datos!$F$10,(Datos!$I$8+Datos!$J$8)+(O368-Datos!$F$10)*Datos!$K$6))))-W368</f>
        <v>3486.6756666666661</v>
      </c>
      <c r="Q368" s="231">
        <f>IFERROR(VLOOKUP(C368,[1]Hoja1!$D$5:$E$58,2,FALSE),0)</f>
        <v>0</v>
      </c>
      <c r="R368" s="234"/>
      <c r="S368" s="234"/>
      <c r="T368" s="234"/>
      <c r="U368" s="234"/>
      <c r="V368" s="234">
        <v>25</v>
      </c>
      <c r="W368" s="231"/>
      <c r="X368" s="234">
        <f>SUM(P368:V368)+(L368+M368+N368)-W368</f>
        <v>7057.6756666666661</v>
      </c>
      <c r="Y368" s="234">
        <f t="shared" si="52"/>
        <v>52942.324333333338</v>
      </c>
      <c r="Z368" s="296" t="s">
        <v>299</v>
      </c>
      <c r="AA368" s="298">
        <v>44197</v>
      </c>
      <c r="AB368" s="235"/>
      <c r="AC368" s="264"/>
    </row>
    <row r="369" spans="1:29" s="236" customFormat="1" x14ac:dyDescent="0.25">
      <c r="A369" s="232"/>
      <c r="B369" s="302">
        <v>363</v>
      </c>
      <c r="C369" s="302" t="s">
        <v>1821</v>
      </c>
      <c r="D369" s="305" t="s">
        <v>1822</v>
      </c>
      <c r="E369" s="305" t="s">
        <v>85</v>
      </c>
      <c r="F369" s="232" t="s">
        <v>87</v>
      </c>
      <c r="G369" s="302">
        <v>5</v>
      </c>
      <c r="H369" s="306" t="s">
        <v>1836</v>
      </c>
      <c r="I369" s="297" t="s">
        <v>1710</v>
      </c>
      <c r="J369" s="305" t="s">
        <v>1520</v>
      </c>
      <c r="K369" s="283">
        <v>55000</v>
      </c>
      <c r="L369" s="284">
        <f>IF(K369&gt;=Datos!$D$14,(Datos!$D$14*Datos!$C$14),IF(K369&lt;=Datos!$D$14,(K369*Datos!$C$14)))</f>
        <v>1578.5</v>
      </c>
      <c r="M369" s="284">
        <f>IF(K369&gt;=Datos!$D$15,(Datos!$D$15*Datos!$C$15),IF(K369&lt;=Datos!$D$15,(K369*Datos!$C$15)))</f>
        <v>1672</v>
      </c>
      <c r="N369" s="231"/>
      <c r="O369" s="231">
        <f>K369-(L369+M369+N369)</f>
        <v>51749.5</v>
      </c>
      <c r="P369" s="223">
        <f>IF(O369&lt;=Datos!$G$7,"0",IF(O369&lt;=Datos!$G$8,(O369-Datos!$F$8)*Datos!$I$6,IF(O369&lt;=Datos!$G$9,Datos!$I$8+(O369-Datos!$F$9)*Datos!$J$6,IF(O369&gt;=Datos!$F$10,(Datos!$I$8+Datos!$J$8)+(O369-Datos!$F$10)*Datos!$K$6))))-W369</f>
        <v>2559.6734999999994</v>
      </c>
      <c r="Q369" s="231">
        <f>IFERROR(VLOOKUP(C369,[1]Hoja1!$D$5:$E$58,2,FALSE),0)</f>
        <v>0</v>
      </c>
      <c r="R369" s="234"/>
      <c r="S369" s="234"/>
      <c r="T369" s="234"/>
      <c r="U369" s="234"/>
      <c r="V369" s="234">
        <v>25</v>
      </c>
      <c r="W369" s="231"/>
      <c r="X369" s="234">
        <f>SUM(P369:V369)+(L369+M369+N369)-W369</f>
        <v>5835.173499999999</v>
      </c>
      <c r="Y369" s="234">
        <f t="shared" si="52"/>
        <v>49164.826500000003</v>
      </c>
      <c r="Z369" s="296">
        <v>9607479179</v>
      </c>
      <c r="AA369" s="298">
        <v>45566</v>
      </c>
      <c r="AB369" s="235"/>
      <c r="AC369" s="264"/>
    </row>
    <row r="370" spans="1:29" s="236" customFormat="1" x14ac:dyDescent="0.25">
      <c r="A370" s="232"/>
      <c r="B370" s="302">
        <v>364</v>
      </c>
      <c r="C370" s="295" t="s">
        <v>1586</v>
      </c>
      <c r="D370" s="232" t="s">
        <v>1587</v>
      </c>
      <c r="E370" s="232" t="s">
        <v>85</v>
      </c>
      <c r="F370" s="232" t="s">
        <v>87</v>
      </c>
      <c r="G370" s="295">
        <v>4</v>
      </c>
      <c r="H370" s="296" t="s">
        <v>1211</v>
      </c>
      <c r="I370" s="297" t="s">
        <v>1061</v>
      </c>
      <c r="J370" s="232" t="s">
        <v>835</v>
      </c>
      <c r="K370" s="233">
        <v>68250</v>
      </c>
      <c r="L370" s="284">
        <f>IF(K370&gt;=Datos!$D$14,(Datos!$D$14*Datos!$C$14),IF(K370&lt;=Datos!$D$14,(K370*Datos!$C$14)))</f>
        <v>1958.7750000000001</v>
      </c>
      <c r="M370" s="284">
        <f>IF(K370&gt;=Datos!$D$15,(Datos!$D$15*Datos!$C$15),IF(K370&lt;=Datos!$D$15,(K370*Datos!$C$15)))</f>
        <v>2074.8000000000002</v>
      </c>
      <c r="N370" s="231"/>
      <c r="O370" s="231">
        <f t="shared" si="45"/>
        <v>64216.425000000003</v>
      </c>
      <c r="P370" s="223">
        <f>IF(O370&lt;=Datos!$G$7,"0",IF(O370&lt;=Datos!$G$8,(O370-Datos!$F$8)*Datos!$I$6,IF(O370&lt;=Datos!$G$9,Datos!$I$8+(O370-Datos!$F$9)*Datos!$J$6,IF(O370&gt;=Datos!$F$10,(Datos!$I$8+Datos!$J$8)+(O370-Datos!$F$10)*Datos!$K$6))))-W370</f>
        <v>5039.1606666666667</v>
      </c>
      <c r="Q370" s="231">
        <f>IFERROR(VLOOKUP(C370,[1]Hoja1!$D$5:$E$58,2,FALSE),0)</f>
        <v>0</v>
      </c>
      <c r="R370" s="234"/>
      <c r="S370" s="234"/>
      <c r="T370" s="234"/>
      <c r="U370" s="234"/>
      <c r="V370" s="234">
        <v>25</v>
      </c>
      <c r="W370" s="231"/>
      <c r="X370" s="234">
        <f t="shared" si="53"/>
        <v>9097.7356666666674</v>
      </c>
      <c r="Y370" s="234">
        <f t="shared" si="52"/>
        <v>59152.264333333333</v>
      </c>
      <c r="Z370" s="296">
        <v>9607176804</v>
      </c>
      <c r="AA370" s="298">
        <v>45444</v>
      </c>
      <c r="AB370" s="235"/>
      <c r="AC370" s="264"/>
    </row>
    <row r="371" spans="1:29" s="236" customFormat="1" x14ac:dyDescent="0.25">
      <c r="A371" s="232"/>
      <c r="B371" s="302">
        <v>365</v>
      </c>
      <c r="C371" s="295" t="s">
        <v>539</v>
      </c>
      <c r="D371" s="232" t="s">
        <v>778</v>
      </c>
      <c r="E371" s="232" t="s">
        <v>85</v>
      </c>
      <c r="F371" s="232" t="s">
        <v>87</v>
      </c>
      <c r="G371" s="295">
        <v>5</v>
      </c>
      <c r="H371" s="296" t="s">
        <v>1210</v>
      </c>
      <c r="I371" s="297" t="s">
        <v>1060</v>
      </c>
      <c r="J371" s="232" t="s">
        <v>949</v>
      </c>
      <c r="K371" s="233">
        <f>50000+15000</f>
        <v>65000</v>
      </c>
      <c r="L371" s="284">
        <f>IF(K371&gt;=Datos!$D$14,(Datos!$D$14*Datos!$C$14),IF(K371&lt;=Datos!$D$14,(K371*Datos!$C$14)))</f>
        <v>1865.5</v>
      </c>
      <c r="M371" s="284">
        <f>IF(K371&gt;=Datos!$D$15,(Datos!$D$15*Datos!$C$15),IF(K371&lt;=Datos!$D$15,(K371*Datos!$C$15)))</f>
        <v>1976</v>
      </c>
      <c r="N371" s="231"/>
      <c r="O371" s="231">
        <f t="shared" ref="O371:O441" si="54">K371-(L371+M371+N371)</f>
        <v>61158.5</v>
      </c>
      <c r="P371" s="223">
        <f>IF(O371&lt;=Datos!$G$7,"0",IF(O371&lt;=Datos!$G$8,(O371-Datos!$F$8)*Datos!$I$6,IF(O371&lt;=Datos!$G$9,Datos!$I$8+(O371-Datos!$F$9)*Datos!$J$6,IF(O371&gt;=Datos!$F$10,(Datos!$I$8+Datos!$J$8)+(O371-Datos!$F$10)*Datos!$K$6))))-W371</f>
        <v>4427.5756666666657</v>
      </c>
      <c r="Q371" s="231">
        <f>IFERROR(VLOOKUP(C371,[1]Hoja1!$D$5:$E$58,2,FALSE),0)</f>
        <v>0</v>
      </c>
      <c r="R371" s="234"/>
      <c r="S371" s="234"/>
      <c r="T371" s="234"/>
      <c r="U371" s="234"/>
      <c r="V371" s="234">
        <v>25</v>
      </c>
      <c r="W371" s="231"/>
      <c r="X371" s="234">
        <f t="shared" si="53"/>
        <v>8294.0756666666657</v>
      </c>
      <c r="Y371" s="234">
        <f t="shared" si="52"/>
        <v>56705.924333333336</v>
      </c>
      <c r="Z371" s="296" t="s">
        <v>300</v>
      </c>
      <c r="AA371" s="298">
        <v>44197</v>
      </c>
      <c r="AB371" s="235"/>
      <c r="AC371" s="264"/>
    </row>
    <row r="372" spans="1:29" s="236" customFormat="1" x14ac:dyDescent="0.25">
      <c r="A372" s="232"/>
      <c r="B372" s="302">
        <v>366</v>
      </c>
      <c r="C372" s="295" t="s">
        <v>1176</v>
      </c>
      <c r="D372" s="232" t="s">
        <v>1177</v>
      </c>
      <c r="E372" s="232" t="s">
        <v>85</v>
      </c>
      <c r="F372" s="232" t="s">
        <v>87</v>
      </c>
      <c r="G372" s="295">
        <v>1</v>
      </c>
      <c r="H372" s="296" t="s">
        <v>1221</v>
      </c>
      <c r="I372" s="297" t="s">
        <v>1060</v>
      </c>
      <c r="J372" s="232" t="s">
        <v>1178</v>
      </c>
      <c r="K372" s="233">
        <v>38000</v>
      </c>
      <c r="L372" s="284">
        <f>IF(K372&gt;=Datos!$D$14,(Datos!$D$14*Datos!$C$14),IF(K372&lt;=Datos!$D$14,(K372*Datos!$C$14)))</f>
        <v>1090.5999999999999</v>
      </c>
      <c r="M372" s="284">
        <f>IF(K372&gt;=Datos!$D$15,(Datos!$D$15*Datos!$C$15),IF(K372&lt;=Datos!$D$15,(K372*Datos!$C$15)))</f>
        <v>1155.2</v>
      </c>
      <c r="N372" s="231"/>
      <c r="O372" s="231">
        <f t="shared" si="54"/>
        <v>35754.199999999997</v>
      </c>
      <c r="P372" s="223">
        <f>IF(O372&lt;=Datos!$G$7,"0",IF(O372&lt;=Datos!$G$8,(O372-Datos!$F$8)*Datos!$I$6,IF(O372&lt;=Datos!$G$9,Datos!$I$8+(O372-Datos!$F$9)*Datos!$J$6,IF(O372&gt;=Datos!$F$10,(Datos!$I$8+Datos!$J$8)+(O372-Datos!$F$10)*Datos!$K$6))))-W372</f>
        <v>160.37849999999926</v>
      </c>
      <c r="Q372" s="231">
        <f>IFERROR(VLOOKUP(C372,[1]Hoja1!$D$5:$E$58,2,FALSE),0)</f>
        <v>0</v>
      </c>
      <c r="R372" s="234"/>
      <c r="S372" s="234"/>
      <c r="T372" s="234"/>
      <c r="U372" s="234"/>
      <c r="V372" s="234">
        <v>25</v>
      </c>
      <c r="W372" s="231"/>
      <c r="X372" s="234">
        <f t="shared" si="53"/>
        <v>2431.1784999999995</v>
      </c>
      <c r="Y372" s="234">
        <f t="shared" si="52"/>
        <v>35568.821499999998</v>
      </c>
      <c r="Z372" s="296"/>
      <c r="AA372" s="298">
        <v>44927</v>
      </c>
      <c r="AB372" s="235"/>
      <c r="AC372" s="264"/>
    </row>
    <row r="373" spans="1:29" s="236" customFormat="1" x14ac:dyDescent="0.25">
      <c r="A373" s="232"/>
      <c r="B373" s="302">
        <v>367</v>
      </c>
      <c r="C373" s="295" t="s">
        <v>540</v>
      </c>
      <c r="D373" s="232" t="s">
        <v>779</v>
      </c>
      <c r="E373" s="232" t="s">
        <v>85</v>
      </c>
      <c r="F373" s="232" t="s">
        <v>87</v>
      </c>
      <c r="G373" s="295">
        <v>5</v>
      </c>
      <c r="H373" s="296" t="s">
        <v>1662</v>
      </c>
      <c r="I373" s="297" t="s">
        <v>1062</v>
      </c>
      <c r="J373" s="232" t="s">
        <v>837</v>
      </c>
      <c r="K373" s="233">
        <v>67567.5</v>
      </c>
      <c r="L373" s="284">
        <f>IF(K373&gt;=Datos!$D$14,(Datos!$D$14*Datos!$C$14),IF(K373&lt;=Datos!$D$14,(K373*Datos!$C$14)))</f>
        <v>1939.1872499999999</v>
      </c>
      <c r="M373" s="284">
        <f>IF(K373&gt;=Datos!$D$15,(Datos!$D$15*Datos!$C$15),IF(K373&lt;=Datos!$D$15,(K373*Datos!$C$15)))</f>
        <v>2054.0520000000001</v>
      </c>
      <c r="N373" s="231"/>
      <c r="O373" s="231">
        <f t="shared" si="54"/>
        <v>63574.260750000001</v>
      </c>
      <c r="P373" s="223">
        <f>IF(O373&lt;=Datos!$G$7,"0",IF(O373&lt;=Datos!$G$8,(O373-Datos!$F$8)*Datos!$I$6,IF(O373&lt;=Datos!$G$9,Datos!$I$8+(O373-Datos!$F$9)*Datos!$J$6,IF(O373&gt;=Datos!$F$10,(Datos!$I$8+Datos!$J$8)+(O373-Datos!$F$10)*Datos!$K$6))))-W373</f>
        <v>4910.7278166666665</v>
      </c>
      <c r="Q373" s="231">
        <f>IFERROR(VLOOKUP(C373,[1]Hoja1!$D$5:$E$58,2,FALSE),0)</f>
        <v>0</v>
      </c>
      <c r="R373" s="234"/>
      <c r="S373" s="234"/>
      <c r="T373" s="234"/>
      <c r="U373" s="234"/>
      <c r="V373" s="234">
        <v>25</v>
      </c>
      <c r="W373" s="231"/>
      <c r="X373" s="234">
        <f t="shared" si="53"/>
        <v>8928.9670666666661</v>
      </c>
      <c r="Y373" s="234">
        <f t="shared" si="52"/>
        <v>58638.532933333336</v>
      </c>
      <c r="Z373" s="296" t="s">
        <v>301</v>
      </c>
      <c r="AA373" s="298">
        <v>44197</v>
      </c>
      <c r="AB373" s="235"/>
      <c r="AC373" s="264"/>
    </row>
    <row r="374" spans="1:29" s="236" customFormat="1" x14ac:dyDescent="0.25">
      <c r="A374" s="232"/>
      <c r="B374" s="302">
        <v>368</v>
      </c>
      <c r="C374" s="295" t="s">
        <v>978</v>
      </c>
      <c r="D374" s="232" t="s">
        <v>979</v>
      </c>
      <c r="E374" s="232" t="s">
        <v>85</v>
      </c>
      <c r="F374" s="232" t="s">
        <v>87</v>
      </c>
      <c r="G374" s="295">
        <v>1</v>
      </c>
      <c r="H374" s="296" t="s">
        <v>1769</v>
      </c>
      <c r="I374" s="297" t="s">
        <v>1067</v>
      </c>
      <c r="J374" s="232" t="s">
        <v>841</v>
      </c>
      <c r="K374" s="233">
        <v>35000</v>
      </c>
      <c r="L374" s="284">
        <f>IF(K374&gt;=Datos!$D$14,(Datos!$D$14*Datos!$C$14),IF(K374&lt;=Datos!$D$14,(K374*Datos!$C$14)))</f>
        <v>1004.5</v>
      </c>
      <c r="M374" s="284">
        <f>IF(K374&gt;=Datos!$D$15,(Datos!$D$15*Datos!$C$15),IF(K374&lt;=Datos!$D$15,(K374*Datos!$C$15)))</f>
        <v>1064</v>
      </c>
      <c r="N374" s="231"/>
      <c r="O374" s="231">
        <f t="shared" si="54"/>
        <v>32931.5</v>
      </c>
      <c r="P374" s="223">
        <f>IF(O374&lt;=Datos!$G$7,"0",IF(O374&lt;=Datos!$G$8,(O374-Datos!$F$8)*Datos!$I$6,IF(O374&lt;=Datos!$G$9,Datos!$I$8+(O374-Datos!$F$9)*Datos!$J$6,IF(O374&gt;=Datos!$F$10,(Datos!$I$8+Datos!$J$8)+(O374-Datos!$F$10)*Datos!$K$6))))-W374</f>
        <v>0</v>
      </c>
      <c r="Q374" s="231">
        <f>IFERROR(VLOOKUP(C374,[1]Hoja1!$D$5:$E$58,2,FALSE),0)</f>
        <v>0</v>
      </c>
      <c r="R374" s="234"/>
      <c r="S374" s="234"/>
      <c r="T374" s="234"/>
      <c r="U374" s="234"/>
      <c r="V374" s="234">
        <v>25</v>
      </c>
      <c r="W374" s="231"/>
      <c r="X374" s="234">
        <f t="shared" si="53"/>
        <v>2093.5</v>
      </c>
      <c r="Y374" s="234">
        <f t="shared" si="52"/>
        <v>32906.5</v>
      </c>
      <c r="Z374" s="296"/>
      <c r="AA374" s="298">
        <v>44713</v>
      </c>
      <c r="AB374" s="235"/>
      <c r="AC374" s="264"/>
    </row>
    <row r="375" spans="1:29" s="236" customFormat="1" x14ac:dyDescent="0.25">
      <c r="A375" s="232"/>
      <c r="B375" s="302">
        <v>369</v>
      </c>
      <c r="C375" s="295" t="s">
        <v>1360</v>
      </c>
      <c r="D375" s="297" t="s">
        <v>1372</v>
      </c>
      <c r="E375" s="232" t="s">
        <v>85</v>
      </c>
      <c r="F375" s="232" t="s">
        <v>87</v>
      </c>
      <c r="G375" s="295">
        <v>1</v>
      </c>
      <c r="H375" s="296" t="s">
        <v>1207</v>
      </c>
      <c r="I375" s="297" t="s">
        <v>1067</v>
      </c>
      <c r="J375" s="232" t="s">
        <v>1178</v>
      </c>
      <c r="K375" s="233">
        <v>38000</v>
      </c>
      <c r="L375" s="284">
        <f>IF(K375&gt;=Datos!$D$14,(Datos!$D$14*Datos!$C$14),IF(K375&lt;=Datos!$D$14,(K375*Datos!$C$14)))</f>
        <v>1090.5999999999999</v>
      </c>
      <c r="M375" s="284">
        <f>IF(K375&gt;=Datos!$D$15,(Datos!$D$15*Datos!$C$15),IF(K375&lt;=Datos!$D$15,(K375*Datos!$C$15)))</f>
        <v>1155.2</v>
      </c>
      <c r="N375" s="231"/>
      <c r="O375" s="231">
        <f t="shared" si="54"/>
        <v>35754.199999999997</v>
      </c>
      <c r="P375" s="223">
        <f>IF(O375&lt;=Datos!$G$7,"0",IF(O375&lt;=Datos!$G$8,(O375-Datos!$F$8)*Datos!$I$6,IF(O375&lt;=Datos!$G$9,Datos!$I$8+(O375-Datos!$F$9)*Datos!$J$6,IF(O375&gt;=Datos!$F$10,(Datos!$I$8+Datos!$J$8)+(O375-Datos!$F$10)*Datos!$K$6))))-W375</f>
        <v>160.37849999999926</v>
      </c>
      <c r="Q375" s="231">
        <f>IFERROR(VLOOKUP(C375,[1]Hoja1!$D$5:$E$58,2,FALSE),0)</f>
        <v>0</v>
      </c>
      <c r="R375" s="234"/>
      <c r="S375" s="234"/>
      <c r="T375" s="234"/>
      <c r="U375" s="234"/>
      <c r="V375" s="234">
        <v>25</v>
      </c>
      <c r="W375" s="231"/>
      <c r="X375" s="234">
        <f t="shared" si="53"/>
        <v>2431.1784999999995</v>
      </c>
      <c r="Y375" s="234">
        <f t="shared" si="52"/>
        <v>35568.821499999998</v>
      </c>
      <c r="Z375" s="296">
        <v>9606252870</v>
      </c>
      <c r="AA375" s="298">
        <v>45200</v>
      </c>
      <c r="AB375" s="235"/>
      <c r="AC375" s="264"/>
    </row>
    <row r="376" spans="1:29" s="236" customFormat="1" x14ac:dyDescent="0.25">
      <c r="A376" s="232"/>
      <c r="B376" s="302">
        <v>370</v>
      </c>
      <c r="C376" s="295" t="s">
        <v>1855</v>
      </c>
      <c r="D376" s="297" t="s">
        <v>1856</v>
      </c>
      <c r="E376" s="232" t="s">
        <v>85</v>
      </c>
      <c r="F376" s="232" t="s">
        <v>87</v>
      </c>
      <c r="G376" s="295">
        <v>5</v>
      </c>
      <c r="H376" s="296" t="s">
        <v>1210</v>
      </c>
      <c r="I376" s="297" t="s">
        <v>1067</v>
      </c>
      <c r="J376" s="232" t="s">
        <v>960</v>
      </c>
      <c r="K376" s="233">
        <v>60000</v>
      </c>
      <c r="L376" s="284">
        <f>IF(K376&gt;=Datos!$D$14,(Datos!$D$14*Datos!$C$14),IF(K376&lt;=Datos!$D$14,(K376*Datos!$C$14)))</f>
        <v>1722</v>
      </c>
      <c r="M376" s="284">
        <f>IF(K376&gt;=Datos!$D$15,(Datos!$D$15*Datos!$C$15),IF(K376&lt;=Datos!$D$15,(K376*Datos!$C$15)))</f>
        <v>1824</v>
      </c>
      <c r="N376" s="231"/>
      <c r="O376" s="231">
        <f t="shared" ref="O376" si="55">K376-(L376+M376+N376)</f>
        <v>56454</v>
      </c>
      <c r="P376" s="223">
        <f>IF(O376&lt;=Datos!$G$7,"0",IF(O376&lt;=Datos!$G$8,(O376-Datos!$F$8)*Datos!$I$6,IF(O376&lt;=Datos!$G$9,Datos!$I$8+(O376-Datos!$F$9)*Datos!$J$6,IF(O376&gt;=Datos!$F$10,(Datos!$I$8+Datos!$J$8)+(O376-Datos!$F$10)*Datos!$K$6))))-W376</f>
        <v>3486.6756666666661</v>
      </c>
      <c r="Q376" s="231">
        <f>IFERROR(VLOOKUP(C376,[1]Hoja1!$D$5:$E$58,2,FALSE),0)</f>
        <v>0</v>
      </c>
      <c r="R376" s="234"/>
      <c r="S376" s="234"/>
      <c r="T376" s="234"/>
      <c r="U376" s="234"/>
      <c r="V376" s="231">
        <v>25</v>
      </c>
      <c r="W376" s="231"/>
      <c r="X376" s="234">
        <f t="shared" ref="X376" si="56">SUM(P376:V376)+(L376+M376+N376)-W376</f>
        <v>7057.6756666666661</v>
      </c>
      <c r="Y376" s="234">
        <f t="shared" ref="Y376" si="57">+K376-X376</f>
        <v>52942.324333333338</v>
      </c>
      <c r="Z376" s="296">
        <v>9607759059</v>
      </c>
      <c r="AA376" s="298">
        <v>45627</v>
      </c>
      <c r="AB376" s="235"/>
      <c r="AC376" s="264"/>
    </row>
    <row r="377" spans="1:29" s="236" customFormat="1" x14ac:dyDescent="0.25">
      <c r="A377" s="232"/>
      <c r="B377" s="302">
        <v>371</v>
      </c>
      <c r="C377" s="295" t="s">
        <v>900</v>
      </c>
      <c r="D377" s="232" t="s">
        <v>901</v>
      </c>
      <c r="E377" s="232" t="s">
        <v>85</v>
      </c>
      <c r="F377" s="232" t="s">
        <v>87</v>
      </c>
      <c r="G377" s="295">
        <v>1</v>
      </c>
      <c r="H377" s="296" t="s">
        <v>1575</v>
      </c>
      <c r="I377" s="297" t="s">
        <v>1187</v>
      </c>
      <c r="J377" s="232" t="s">
        <v>1576</v>
      </c>
      <c r="K377" s="233">
        <v>70000</v>
      </c>
      <c r="L377" s="284">
        <f>IF(K377&gt;=Datos!$D$14,(Datos!$D$14*Datos!$C$14),IF(K377&lt;=Datos!$D$14,(K377*Datos!$C$14)))</f>
        <v>2009</v>
      </c>
      <c r="M377" s="284">
        <f>IF(K377&gt;=Datos!$D$15,(Datos!$D$15*Datos!$C$15),IF(K377&lt;=Datos!$D$15,(K377*Datos!$C$15)))</f>
        <v>2128</v>
      </c>
      <c r="N377" s="231">
        <v>1715.46</v>
      </c>
      <c r="O377" s="231">
        <f t="shared" si="54"/>
        <v>64147.54</v>
      </c>
      <c r="P377" s="223">
        <f>IF(O377&lt;=Datos!$G$7,"0",IF(O377&lt;=Datos!$G$8,(O377-Datos!$F$8)*Datos!$I$6,IF(O377&lt;=Datos!$G$9,Datos!$I$8+(O377-Datos!$F$9)*Datos!$J$6,IF(O377&gt;=Datos!$F$10,(Datos!$I$8+Datos!$J$8)+(O377-Datos!$F$10)*Datos!$K$6))))-W377</f>
        <v>5025.3836666666666</v>
      </c>
      <c r="Q377" s="231">
        <f>IFERROR(VLOOKUP(C377,[1]Hoja1!$D$5:$E$58,2,FALSE),0)</f>
        <v>0</v>
      </c>
      <c r="R377" s="234"/>
      <c r="S377" s="234"/>
      <c r="T377" s="234"/>
      <c r="U377" s="234"/>
      <c r="V377" s="231">
        <v>25</v>
      </c>
      <c r="W377" s="231"/>
      <c r="X377" s="234">
        <f t="shared" si="53"/>
        <v>10902.843666666668</v>
      </c>
      <c r="Y377" s="234">
        <f t="shared" si="52"/>
        <v>59097.156333333332</v>
      </c>
      <c r="Z377" s="296"/>
      <c r="AA377" s="298">
        <v>44621</v>
      </c>
      <c r="AB377" s="235"/>
      <c r="AC377" s="264"/>
    </row>
    <row r="378" spans="1:29" s="236" customFormat="1" x14ac:dyDescent="0.25">
      <c r="A378" s="232"/>
      <c r="B378" s="302">
        <v>372</v>
      </c>
      <c r="C378" s="295" t="s">
        <v>1017</v>
      </c>
      <c r="D378" s="232" t="s">
        <v>1010</v>
      </c>
      <c r="E378" s="232" t="s">
        <v>85</v>
      </c>
      <c r="F378" s="232" t="s">
        <v>87</v>
      </c>
      <c r="G378" s="295">
        <v>4</v>
      </c>
      <c r="H378" s="296" t="s">
        <v>1211</v>
      </c>
      <c r="I378" s="297" t="s">
        <v>1060</v>
      </c>
      <c r="J378" s="232" t="s">
        <v>1019</v>
      </c>
      <c r="K378" s="233">
        <v>55000</v>
      </c>
      <c r="L378" s="284">
        <f>IF(K378&gt;=Datos!$D$14,(Datos!$D$14*Datos!$C$14),IF(K378&lt;=Datos!$D$14,(K378*Datos!$C$14)))</f>
        <v>1578.5</v>
      </c>
      <c r="M378" s="284">
        <f>IF(K378&gt;=Datos!$D$15,(Datos!$D$15*Datos!$C$15),IF(K378&lt;=Datos!$D$15,(K378*Datos!$C$15)))</f>
        <v>1672</v>
      </c>
      <c r="N378" s="231"/>
      <c r="O378" s="231">
        <f t="shared" si="54"/>
        <v>51749.5</v>
      </c>
      <c r="P378" s="223">
        <f>IF(O378&lt;=Datos!$G$7,"0",IF(O378&lt;=Datos!$G$8,(O378-Datos!$F$8)*Datos!$I$6,IF(O378&lt;=Datos!$G$9,Datos!$I$8+(O378-Datos!$F$9)*Datos!$J$6,IF(O378&gt;=Datos!$F$10,(Datos!$I$8+Datos!$J$8)+(O378-Datos!$F$10)*Datos!$K$6))))-W378</f>
        <v>2559.6734999999994</v>
      </c>
      <c r="Q378" s="231">
        <f>IFERROR(VLOOKUP(C378,[1]Hoja1!$D$5:$E$58,2,FALSE),0)</f>
        <v>0</v>
      </c>
      <c r="R378" s="234"/>
      <c r="S378" s="234"/>
      <c r="T378" s="234"/>
      <c r="U378" s="234"/>
      <c r="V378" s="234">
        <v>25</v>
      </c>
      <c r="W378" s="231"/>
      <c r="X378" s="234">
        <f t="shared" si="53"/>
        <v>5835.173499999999</v>
      </c>
      <c r="Y378" s="234">
        <f t="shared" si="52"/>
        <v>49164.826500000003</v>
      </c>
      <c r="Z378" s="296"/>
      <c r="AA378" s="298">
        <v>44743</v>
      </c>
      <c r="AB378" s="235"/>
      <c r="AC378" s="264"/>
    </row>
    <row r="379" spans="1:29" s="236" customFormat="1" x14ac:dyDescent="0.25">
      <c r="A379" s="232"/>
      <c r="B379" s="302">
        <v>373</v>
      </c>
      <c r="C379" s="295" t="s">
        <v>541</v>
      </c>
      <c r="D379" s="232" t="s">
        <v>780</v>
      </c>
      <c r="E379" s="232" t="s">
        <v>86</v>
      </c>
      <c r="F379" s="232" t="s">
        <v>87</v>
      </c>
      <c r="G379" s="295">
        <v>4</v>
      </c>
      <c r="H379" s="296" t="s">
        <v>1211</v>
      </c>
      <c r="I379" s="297" t="s">
        <v>1061</v>
      </c>
      <c r="J379" s="232" t="s">
        <v>863</v>
      </c>
      <c r="K379" s="233">
        <f>26000+9000</f>
        <v>35000</v>
      </c>
      <c r="L379" s="284">
        <f>IF(K379&gt;=Datos!$D$14,(Datos!$D$14*Datos!$C$14),IF(K379&lt;=Datos!$D$14,(K379*Datos!$C$14)))</f>
        <v>1004.5</v>
      </c>
      <c r="M379" s="284">
        <f>IF(K379&gt;=Datos!$D$15,(Datos!$D$15*Datos!$C$15),IF(K379&lt;=Datos!$D$15,(K379*Datos!$C$15)))</f>
        <v>1064</v>
      </c>
      <c r="N379" s="231"/>
      <c r="O379" s="231">
        <f t="shared" si="54"/>
        <v>32931.5</v>
      </c>
      <c r="P379" s="223">
        <f>IF(O379&lt;=Datos!$G$7,"0",IF(O379&lt;=Datos!$G$8,(O379-Datos!$F$8)*Datos!$I$6,IF(O379&lt;=Datos!$G$9,Datos!$I$8+(O379-Datos!$F$9)*Datos!$J$6,IF(O379&gt;=Datos!$F$10,(Datos!$I$8+Datos!$J$8)+(O379-Datos!$F$10)*Datos!$K$6))))-W379</f>
        <v>0</v>
      </c>
      <c r="Q379" s="231">
        <v>3500</v>
      </c>
      <c r="R379" s="234"/>
      <c r="S379" s="234"/>
      <c r="T379" s="234"/>
      <c r="U379" s="234"/>
      <c r="V379" s="234">
        <v>25</v>
      </c>
      <c r="W379" s="231"/>
      <c r="X379" s="234">
        <f t="shared" si="53"/>
        <v>5593.5</v>
      </c>
      <c r="Y379" s="234">
        <f t="shared" si="52"/>
        <v>29406.5</v>
      </c>
      <c r="Z379" s="296" t="s">
        <v>302</v>
      </c>
      <c r="AA379" s="298">
        <v>44197</v>
      </c>
      <c r="AB379" s="235"/>
      <c r="AC379" s="264"/>
    </row>
    <row r="380" spans="1:29" s="236" customFormat="1" x14ac:dyDescent="0.25">
      <c r="A380" s="232"/>
      <c r="B380" s="302">
        <v>374</v>
      </c>
      <c r="C380" s="295" t="s">
        <v>542</v>
      </c>
      <c r="D380" s="232" t="s">
        <v>781</v>
      </c>
      <c r="E380" s="232" t="s">
        <v>85</v>
      </c>
      <c r="F380" s="232" t="s">
        <v>87</v>
      </c>
      <c r="G380" s="295">
        <v>4</v>
      </c>
      <c r="H380" s="296" t="s">
        <v>1211</v>
      </c>
      <c r="I380" s="297" t="s">
        <v>1060</v>
      </c>
      <c r="J380" s="232" t="s">
        <v>831</v>
      </c>
      <c r="K380" s="233">
        <v>71662.5</v>
      </c>
      <c r="L380" s="284">
        <f>IF(K380&gt;=Datos!$D$14,(Datos!$D$14*Datos!$C$14),IF(K380&lt;=Datos!$D$14,(K380*Datos!$C$14)))</f>
        <v>2056.7137499999999</v>
      </c>
      <c r="M380" s="284">
        <f>IF(K380&gt;=Datos!$D$15,(Datos!$D$15*Datos!$C$15),IF(K380&lt;=Datos!$D$15,(K380*Datos!$C$15)))</f>
        <v>2178.54</v>
      </c>
      <c r="N380" s="231"/>
      <c r="O380" s="231">
        <f t="shared" si="54"/>
        <v>67427.246249999997</v>
      </c>
      <c r="P380" s="223">
        <f>IF(O380&lt;=Datos!$G$7,"0",IF(O380&lt;=Datos!$G$8,(O380-Datos!$F$8)*Datos!$I$6,IF(O380&lt;=Datos!$G$9,Datos!$I$8+(O380-Datos!$F$9)*Datos!$J$6,IF(O380&gt;=Datos!$F$10,(Datos!$I$8+Datos!$J$8)+(O380-Datos!$F$10)*Datos!$K$6))))-W380</f>
        <v>5681.3249166666656</v>
      </c>
      <c r="Q380" s="231">
        <f>IFERROR(VLOOKUP(C380,[1]Hoja1!$D$5:$E$58,2,FALSE),0)</f>
        <v>0</v>
      </c>
      <c r="R380" s="234"/>
      <c r="S380" s="234"/>
      <c r="T380" s="234"/>
      <c r="U380" s="234"/>
      <c r="V380" s="234">
        <v>25</v>
      </c>
      <c r="W380" s="231"/>
      <c r="X380" s="234">
        <f t="shared" si="53"/>
        <v>9941.5786666666645</v>
      </c>
      <c r="Y380" s="234">
        <f t="shared" si="52"/>
        <v>61720.921333333332</v>
      </c>
      <c r="Z380" s="296" t="s">
        <v>303</v>
      </c>
      <c r="AA380" s="298">
        <v>44197</v>
      </c>
      <c r="AB380" s="235"/>
      <c r="AC380" s="264"/>
    </row>
    <row r="381" spans="1:29" s="236" customFormat="1" x14ac:dyDescent="0.25">
      <c r="A381" s="232"/>
      <c r="B381" s="302">
        <v>375</v>
      </c>
      <c r="C381" s="295" t="s">
        <v>543</v>
      </c>
      <c r="D381" s="232" t="s">
        <v>782</v>
      </c>
      <c r="E381" s="232" t="s">
        <v>85</v>
      </c>
      <c r="F381" s="232" t="s">
        <v>87</v>
      </c>
      <c r="G381" s="295">
        <v>5</v>
      </c>
      <c r="H381" s="296" t="s">
        <v>1210</v>
      </c>
      <c r="I381" s="297" t="s">
        <v>1060</v>
      </c>
      <c r="J381" s="232" t="s">
        <v>837</v>
      </c>
      <c r="K381" s="233">
        <f>63063+1937</f>
        <v>65000</v>
      </c>
      <c r="L381" s="284">
        <f>IF(K381&gt;=Datos!$D$14,(Datos!$D$14*Datos!$C$14),IF(K381&lt;=Datos!$D$14,(K381*Datos!$C$14)))</f>
        <v>1865.5</v>
      </c>
      <c r="M381" s="284">
        <f>IF(K381&gt;=Datos!$D$15,(Datos!$D$15*Datos!$C$15),IF(K381&lt;=Datos!$D$15,(K381*Datos!$C$15)))</f>
        <v>1976</v>
      </c>
      <c r="N381" s="231"/>
      <c r="O381" s="231">
        <f t="shared" si="54"/>
        <v>61158.5</v>
      </c>
      <c r="P381" s="223">
        <f>IF(O381&lt;=Datos!$G$7,"0",IF(O381&lt;=Datos!$G$8,(O381-Datos!$F$8)*Datos!$I$6,IF(O381&lt;=Datos!$G$9,Datos!$I$8+(O381-Datos!$F$9)*Datos!$J$6,IF(O381&gt;=Datos!$F$10,(Datos!$I$8+Datos!$J$8)+(O381-Datos!$F$10)*Datos!$K$6))))-W381</f>
        <v>4427.5756666666657</v>
      </c>
      <c r="Q381" s="231">
        <f>IFERROR(VLOOKUP(C381,[1]Hoja1!$D$5:$E$58,2,FALSE),0)</f>
        <v>0</v>
      </c>
      <c r="R381" s="234"/>
      <c r="S381" s="234"/>
      <c r="T381" s="234"/>
      <c r="U381" s="234"/>
      <c r="V381" s="234">
        <v>25</v>
      </c>
      <c r="W381" s="231"/>
      <c r="X381" s="234">
        <f t="shared" si="53"/>
        <v>8294.0756666666657</v>
      </c>
      <c r="Y381" s="234">
        <f t="shared" si="52"/>
        <v>56705.924333333336</v>
      </c>
      <c r="Z381" s="296" t="s">
        <v>304</v>
      </c>
      <c r="AA381" s="298">
        <v>44197</v>
      </c>
      <c r="AB381" s="235"/>
      <c r="AC381" s="264"/>
    </row>
    <row r="382" spans="1:29" s="236" customFormat="1" x14ac:dyDescent="0.25">
      <c r="A382" s="232"/>
      <c r="B382" s="302">
        <v>376</v>
      </c>
      <c r="C382" s="295" t="s">
        <v>1315</v>
      </c>
      <c r="D382" s="232" t="s">
        <v>1316</v>
      </c>
      <c r="E382" s="232" t="s">
        <v>85</v>
      </c>
      <c r="F382" s="232" t="s">
        <v>87</v>
      </c>
      <c r="G382" s="295">
        <v>1</v>
      </c>
      <c r="H382" s="296" t="s">
        <v>1548</v>
      </c>
      <c r="I382" s="297" t="s">
        <v>1060</v>
      </c>
      <c r="J382" s="232" t="s">
        <v>833</v>
      </c>
      <c r="K382" s="233">
        <v>17500</v>
      </c>
      <c r="L382" s="284">
        <f>IF(K382&gt;=Datos!$D$14,(Datos!$D$14*Datos!$C$14),IF(K382&lt;=Datos!$D$14,(K382*Datos!$C$14)))</f>
        <v>502.25</v>
      </c>
      <c r="M382" s="284">
        <f>IF(K382&gt;=Datos!$D$15,(Datos!$D$15*Datos!$C$15),IF(K382&lt;=Datos!$D$15,(K382*Datos!$C$15)))</f>
        <v>532</v>
      </c>
      <c r="N382" s="231"/>
      <c r="O382" s="231">
        <f t="shared" si="54"/>
        <v>16465.75</v>
      </c>
      <c r="P382" s="223">
        <f>IF(O382&lt;=Datos!$G$7,"0",IF(O382&lt;=Datos!$G$8,(O382-Datos!$F$8)*Datos!$I$6,IF(O382&lt;=Datos!$G$9,Datos!$I$8+(O382-Datos!$F$9)*Datos!$J$6,IF(O382&gt;=Datos!$F$10,(Datos!$I$8+Datos!$J$8)+(O382-Datos!$F$10)*Datos!$K$6))))-W382</f>
        <v>0</v>
      </c>
      <c r="Q382" s="231">
        <v>0</v>
      </c>
      <c r="R382" s="234"/>
      <c r="S382" s="234"/>
      <c r="T382" s="234"/>
      <c r="U382" s="234"/>
      <c r="V382" s="234">
        <v>25</v>
      </c>
      <c r="W382" s="231"/>
      <c r="X382" s="234">
        <f t="shared" si="53"/>
        <v>1059.25</v>
      </c>
      <c r="Y382" s="234">
        <f t="shared" si="52"/>
        <v>16440.75</v>
      </c>
      <c r="Z382" s="296"/>
      <c r="AA382" s="298">
        <v>45108</v>
      </c>
      <c r="AB382" s="235"/>
      <c r="AC382" s="264"/>
    </row>
    <row r="383" spans="1:29" s="236" customFormat="1" x14ac:dyDescent="0.25">
      <c r="A383" s="232"/>
      <c r="B383" s="302">
        <v>377</v>
      </c>
      <c r="C383" s="295" t="s">
        <v>544</v>
      </c>
      <c r="D383" s="232" t="s">
        <v>783</v>
      </c>
      <c r="E383" s="232" t="s">
        <v>85</v>
      </c>
      <c r="F383" s="232" t="s">
        <v>87</v>
      </c>
      <c r="G383" s="295">
        <v>5</v>
      </c>
      <c r="H383" s="296" t="s">
        <v>1210</v>
      </c>
      <c r="I383" s="297" t="s">
        <v>1060</v>
      </c>
      <c r="J383" s="232" t="s">
        <v>837</v>
      </c>
      <c r="K383" s="233">
        <f>63063+1937</f>
        <v>65000</v>
      </c>
      <c r="L383" s="284">
        <f>IF(K383&gt;=Datos!$D$14,(Datos!$D$14*Datos!$C$14),IF(K383&lt;=Datos!$D$14,(K383*Datos!$C$14)))</f>
        <v>1865.5</v>
      </c>
      <c r="M383" s="284">
        <f>IF(K383&gt;=Datos!$D$15,(Datos!$D$15*Datos!$C$15),IF(K383&lt;=Datos!$D$15,(K383*Datos!$C$15)))</f>
        <v>1976</v>
      </c>
      <c r="N383" s="231"/>
      <c r="O383" s="231">
        <f t="shared" si="54"/>
        <v>61158.5</v>
      </c>
      <c r="P383" s="223">
        <f>IF(O383&lt;=Datos!$G$7,"0",IF(O383&lt;=Datos!$G$8,(O383-Datos!$F$8)*Datos!$I$6,IF(O383&lt;=Datos!$G$9,Datos!$I$8+(O383-Datos!$F$9)*Datos!$J$6,IF(O383&gt;=Datos!$F$10,(Datos!$I$8+Datos!$J$8)+(O383-Datos!$F$10)*Datos!$K$6))))-W383</f>
        <v>4427.5756666666657</v>
      </c>
      <c r="Q383" s="231">
        <f>IFERROR(VLOOKUP(C383,[1]Hoja1!$D$5:$E$58,2,FALSE),0)</f>
        <v>0</v>
      </c>
      <c r="R383" s="234"/>
      <c r="S383" s="234"/>
      <c r="T383" s="234"/>
      <c r="U383" s="234"/>
      <c r="V383" s="234">
        <v>25</v>
      </c>
      <c r="W383" s="231"/>
      <c r="X383" s="234">
        <f t="shared" si="53"/>
        <v>8294.0756666666657</v>
      </c>
      <c r="Y383" s="234">
        <f t="shared" si="52"/>
        <v>56705.924333333336</v>
      </c>
      <c r="Z383" s="296" t="s">
        <v>305</v>
      </c>
      <c r="AA383" s="298">
        <v>44197</v>
      </c>
      <c r="AB383" s="235"/>
      <c r="AC383" s="264"/>
    </row>
    <row r="384" spans="1:29" s="236" customFormat="1" x14ac:dyDescent="0.25">
      <c r="A384" s="232"/>
      <c r="B384" s="302">
        <v>378</v>
      </c>
      <c r="C384" s="295" t="s">
        <v>1368</v>
      </c>
      <c r="D384" s="297" t="s">
        <v>1391</v>
      </c>
      <c r="E384" s="232" t="s">
        <v>85</v>
      </c>
      <c r="F384" s="232" t="s">
        <v>87</v>
      </c>
      <c r="G384" s="295">
        <v>1</v>
      </c>
      <c r="H384" s="296" t="s">
        <v>1210</v>
      </c>
      <c r="I384" s="297" t="s">
        <v>1067</v>
      </c>
      <c r="J384" s="232" t="s">
        <v>1126</v>
      </c>
      <c r="K384" s="233">
        <v>35000</v>
      </c>
      <c r="L384" s="284">
        <f>IF(K384&gt;=Datos!$D$14,(Datos!$D$14*Datos!$C$14),IF(K384&lt;=Datos!$D$14,(K384*Datos!$C$14)))</f>
        <v>1004.5</v>
      </c>
      <c r="M384" s="284">
        <f>IF(K384&gt;=Datos!$D$15,(Datos!$D$15*Datos!$C$15),IF(K384&lt;=Datos!$D$15,(K384*Datos!$C$15)))</f>
        <v>1064</v>
      </c>
      <c r="N384" s="231"/>
      <c r="O384" s="231">
        <f t="shared" si="54"/>
        <v>32931.5</v>
      </c>
      <c r="P384" s="223">
        <f>IF(O384&lt;=Datos!$G$7,"0",IF(O384&lt;=Datos!$G$8,(O384-Datos!$F$8)*Datos!$I$6,IF(O384&lt;=Datos!$G$9,Datos!$I$8+(O384-Datos!$F$9)*Datos!$J$6,IF(O384&gt;=Datos!$F$10,(Datos!$I$8+Datos!$J$8)+(O384-Datos!$F$10)*Datos!$K$6))))-W384</f>
        <v>0</v>
      </c>
      <c r="Q384" s="231">
        <f>IFERROR(VLOOKUP(C384,[1]Hoja1!$D$5:$E$58,2,FALSE),0)</f>
        <v>0</v>
      </c>
      <c r="R384" s="234"/>
      <c r="S384" s="234"/>
      <c r="T384" s="234"/>
      <c r="U384" s="234"/>
      <c r="V384" s="234">
        <v>25</v>
      </c>
      <c r="W384" s="231"/>
      <c r="X384" s="234">
        <f t="shared" si="53"/>
        <v>2093.5</v>
      </c>
      <c r="Y384" s="234">
        <f t="shared" si="52"/>
        <v>32906.5</v>
      </c>
      <c r="Z384" s="296">
        <v>9606252889</v>
      </c>
      <c r="AA384" s="298">
        <v>45200</v>
      </c>
      <c r="AB384" s="235"/>
      <c r="AC384" s="264"/>
    </row>
    <row r="385" spans="1:29" s="236" customFormat="1" x14ac:dyDescent="0.25">
      <c r="A385" s="232"/>
      <c r="B385" s="302">
        <v>379</v>
      </c>
      <c r="C385" s="295" t="s">
        <v>545</v>
      </c>
      <c r="D385" s="232" t="s">
        <v>784</v>
      </c>
      <c r="E385" s="232" t="s">
        <v>85</v>
      </c>
      <c r="F385" s="232" t="s">
        <v>87</v>
      </c>
      <c r="G385" s="295">
        <v>4</v>
      </c>
      <c r="H385" s="296" t="s">
        <v>1211</v>
      </c>
      <c r="I385" s="297" t="s">
        <v>1062</v>
      </c>
      <c r="J385" s="232" t="s">
        <v>835</v>
      </c>
      <c r="K385" s="233">
        <v>65000</v>
      </c>
      <c r="L385" s="284">
        <f>IF(K385&gt;=Datos!$D$14,(Datos!$D$14*Datos!$C$14),IF(K385&lt;=Datos!$D$14,(K385*Datos!$C$14)))</f>
        <v>1865.5</v>
      </c>
      <c r="M385" s="284">
        <f>IF(K385&gt;=Datos!$D$15,(Datos!$D$15*Datos!$C$15),IF(K385&lt;=Datos!$D$15,(K385*Datos!$C$15)))</f>
        <v>1976</v>
      </c>
      <c r="N385" s="231"/>
      <c r="O385" s="231">
        <f t="shared" si="54"/>
        <v>61158.5</v>
      </c>
      <c r="P385" s="223">
        <f>IF(O385&lt;=Datos!$G$7,"0",IF(O385&lt;=Datos!$G$8,(O385-Datos!$F$8)*Datos!$I$6,IF(O385&lt;=Datos!$G$9,Datos!$I$8+(O385-Datos!$F$9)*Datos!$J$6,IF(O385&gt;=Datos!$F$10,(Datos!$I$8+Datos!$J$8)+(O385-Datos!$F$10)*Datos!$K$6))))-W385</f>
        <v>4427.5756666666657</v>
      </c>
      <c r="Q385" s="231">
        <f>IFERROR(VLOOKUP(C385,[1]Hoja1!$D$5:$E$58,2,FALSE),0)</f>
        <v>0</v>
      </c>
      <c r="R385" s="234"/>
      <c r="S385" s="234"/>
      <c r="T385" s="234"/>
      <c r="U385" s="234"/>
      <c r="V385" s="234">
        <v>25</v>
      </c>
      <c r="W385" s="231"/>
      <c r="X385" s="234">
        <f t="shared" si="53"/>
        <v>8294.0756666666657</v>
      </c>
      <c r="Y385" s="234">
        <f t="shared" si="52"/>
        <v>56705.924333333336</v>
      </c>
      <c r="Z385" s="296" t="s">
        <v>306</v>
      </c>
      <c r="AA385" s="298">
        <v>39508</v>
      </c>
      <c r="AB385" s="235"/>
      <c r="AC385" s="264"/>
    </row>
    <row r="386" spans="1:29" s="236" customFormat="1" x14ac:dyDescent="0.25">
      <c r="A386" s="232"/>
      <c r="B386" s="302">
        <v>380</v>
      </c>
      <c r="C386" s="295" t="s">
        <v>1545</v>
      </c>
      <c r="D386" s="232" t="s">
        <v>1546</v>
      </c>
      <c r="E386" s="232" t="s">
        <v>85</v>
      </c>
      <c r="F386" s="232" t="s">
        <v>87</v>
      </c>
      <c r="G386" s="295">
        <v>1</v>
      </c>
      <c r="H386" s="296" t="s">
        <v>1548</v>
      </c>
      <c r="I386" s="297" t="s">
        <v>1067</v>
      </c>
      <c r="J386" s="232" t="s">
        <v>833</v>
      </c>
      <c r="K386" s="233">
        <v>17500</v>
      </c>
      <c r="L386" s="284">
        <f>IF(K386&gt;=Datos!$D$14,(Datos!$D$14*Datos!$C$14),IF(K386&lt;=Datos!$D$14,(K386*Datos!$C$14)))</f>
        <v>502.25</v>
      </c>
      <c r="M386" s="284">
        <f>IF(K386&gt;=Datos!$D$15,(Datos!$D$15*Datos!$C$15),IF(K386&lt;=Datos!$D$15,(K386*Datos!$C$15)))</f>
        <v>532</v>
      </c>
      <c r="N386" s="231"/>
      <c r="O386" s="231">
        <f t="shared" si="54"/>
        <v>16465.75</v>
      </c>
      <c r="P386" s="223">
        <f>IF(O386&lt;=Datos!$G$7,"0",IF(O386&lt;=Datos!$G$8,(O386-Datos!$F$8)*Datos!$I$6,IF(O386&lt;=Datos!$G$9,Datos!$I$8+(O386-Datos!$F$9)*Datos!$J$6,IF(O386&gt;=Datos!$F$10,(Datos!$I$8+Datos!$J$8)+(O386-Datos!$F$10)*Datos!$K$6))))-W386</f>
        <v>0</v>
      </c>
      <c r="Q386" s="231">
        <f>IFERROR(VLOOKUP(C386,[1]Hoja1!$D$5:$E$58,2,FALSE),0)</f>
        <v>0</v>
      </c>
      <c r="R386" s="234"/>
      <c r="S386" s="234"/>
      <c r="T386" s="234"/>
      <c r="U386" s="234"/>
      <c r="V386" s="234">
        <v>25</v>
      </c>
      <c r="W386" s="231"/>
      <c r="X386" s="234">
        <f t="shared" si="53"/>
        <v>1059.25</v>
      </c>
      <c r="Y386" s="234">
        <f t="shared" si="52"/>
        <v>16440.75</v>
      </c>
      <c r="Z386" s="296">
        <v>9607078058</v>
      </c>
      <c r="AA386" s="298">
        <v>45419</v>
      </c>
      <c r="AB386" s="235"/>
      <c r="AC386" s="264"/>
    </row>
    <row r="387" spans="1:29" s="236" customFormat="1" x14ac:dyDescent="0.25">
      <c r="A387" s="232"/>
      <c r="B387" s="302">
        <v>381</v>
      </c>
      <c r="C387" s="295" t="s">
        <v>1027</v>
      </c>
      <c r="D387" s="232" t="s">
        <v>1026</v>
      </c>
      <c r="E387" s="232" t="s">
        <v>85</v>
      </c>
      <c r="F387" s="232" t="s">
        <v>87</v>
      </c>
      <c r="G387" s="295">
        <v>5</v>
      </c>
      <c r="H387" s="296" t="s">
        <v>1502</v>
      </c>
      <c r="I387" s="297" t="s">
        <v>1062</v>
      </c>
      <c r="J387" s="232" t="s">
        <v>1028</v>
      </c>
      <c r="K387" s="233">
        <f>18000+17000</f>
        <v>35000</v>
      </c>
      <c r="L387" s="284">
        <f>IF(K387&gt;=Datos!$D$14,(Datos!$D$14*Datos!$C$14),IF(K387&lt;=Datos!$D$14,(K387*Datos!$C$14)))</f>
        <v>1004.5</v>
      </c>
      <c r="M387" s="284">
        <f>IF(K387&gt;=Datos!$D$15,(Datos!$D$15*Datos!$C$15),IF(K387&lt;=Datos!$D$15,(K387*Datos!$C$15)))</f>
        <v>1064</v>
      </c>
      <c r="N387" s="231"/>
      <c r="O387" s="231">
        <f t="shared" si="54"/>
        <v>32931.5</v>
      </c>
      <c r="P387" s="223">
        <f>IF(O387&lt;=Datos!$G$7,"0",IF(O387&lt;=Datos!$G$8,(O387-Datos!$F$8)*Datos!$I$6,IF(O387&lt;=Datos!$G$9,Datos!$I$8+(O387-Datos!$F$9)*Datos!$J$6,IF(O387&gt;=Datos!$F$10,(Datos!$I$8+Datos!$J$8)+(O387-Datos!$F$10)*Datos!$K$6))))-W387</f>
        <v>0</v>
      </c>
      <c r="Q387" s="231">
        <f>IFERROR(VLOOKUP(C387,[1]Hoja1!$D$5:$E$58,2,FALSE),0)</f>
        <v>0</v>
      </c>
      <c r="R387" s="234"/>
      <c r="S387" s="234"/>
      <c r="T387" s="234"/>
      <c r="U387" s="234"/>
      <c r="V387" s="234">
        <v>25</v>
      </c>
      <c r="W387" s="231"/>
      <c r="X387" s="234">
        <f t="shared" si="53"/>
        <v>2093.5</v>
      </c>
      <c r="Y387" s="234">
        <f t="shared" si="52"/>
        <v>32906.5</v>
      </c>
      <c r="Z387" s="296"/>
      <c r="AA387" s="298">
        <v>44743</v>
      </c>
      <c r="AB387" s="235"/>
      <c r="AC387" s="264"/>
    </row>
    <row r="388" spans="1:29" s="236" customFormat="1" x14ac:dyDescent="0.25">
      <c r="A388" s="232"/>
      <c r="B388" s="302">
        <v>382</v>
      </c>
      <c r="C388" s="295" t="s">
        <v>1611</v>
      </c>
      <c r="D388" s="232" t="s">
        <v>1612</v>
      </c>
      <c r="E388" s="232" t="s">
        <v>85</v>
      </c>
      <c r="F388" s="232" t="s">
        <v>87</v>
      </c>
      <c r="G388" s="295">
        <v>5</v>
      </c>
      <c r="H388" s="296" t="s">
        <v>1662</v>
      </c>
      <c r="I388" s="297" t="s">
        <v>1062</v>
      </c>
      <c r="J388" s="232" t="s">
        <v>972</v>
      </c>
      <c r="K388" s="233">
        <v>60000</v>
      </c>
      <c r="L388" s="284">
        <f>IF(K388&gt;=Datos!$D$14,(Datos!$D$14*Datos!$C$14),IF(K388&lt;=Datos!$D$14,(K388*Datos!$C$14)))</f>
        <v>1722</v>
      </c>
      <c r="M388" s="284">
        <f>IF(K388&gt;=Datos!$D$15,(Datos!$D$15*Datos!$C$15),IF(K388&lt;=Datos!$D$15,(K388*Datos!$C$15)))</f>
        <v>1824</v>
      </c>
      <c r="N388" s="231"/>
      <c r="O388" s="231">
        <f t="shared" si="54"/>
        <v>56454</v>
      </c>
      <c r="P388" s="223">
        <f>IF(O388&lt;=Datos!$G$7,"0",IF(O388&lt;=Datos!$G$8,(O388-Datos!$F$8)*Datos!$I$6,IF(O388&lt;=Datos!$G$9,Datos!$I$8+(O388-Datos!$F$9)*Datos!$J$6,IF(O388&gt;=Datos!$F$10,(Datos!$I$8+Datos!$J$8)+(O388-Datos!$F$10)*Datos!$K$6))))-W388</f>
        <v>3486.6756666666661</v>
      </c>
      <c r="Q388" s="231">
        <v>0</v>
      </c>
      <c r="R388" s="234"/>
      <c r="S388" s="234"/>
      <c r="T388" s="234"/>
      <c r="U388" s="234"/>
      <c r="V388" s="234">
        <v>25</v>
      </c>
      <c r="W388" s="231"/>
      <c r="X388" s="234">
        <f t="shared" si="53"/>
        <v>7057.6756666666661</v>
      </c>
      <c r="Y388" s="234">
        <f t="shared" si="52"/>
        <v>52942.324333333338</v>
      </c>
      <c r="Z388" s="296">
        <v>9607405817</v>
      </c>
      <c r="AA388" s="298">
        <v>45536</v>
      </c>
      <c r="AB388" s="235"/>
      <c r="AC388" s="264"/>
    </row>
    <row r="389" spans="1:29" s="236" customFormat="1" x14ac:dyDescent="0.25">
      <c r="A389" s="232"/>
      <c r="B389" s="302">
        <v>383</v>
      </c>
      <c r="C389" s="295" t="s">
        <v>1543</v>
      </c>
      <c r="D389" s="232" t="s">
        <v>1544</v>
      </c>
      <c r="E389" s="232" t="s">
        <v>85</v>
      </c>
      <c r="F389" s="232" t="s">
        <v>87</v>
      </c>
      <c r="G389" s="295">
        <v>1</v>
      </c>
      <c r="H389" s="296" t="s">
        <v>1834</v>
      </c>
      <c r="I389" s="297" t="s">
        <v>1067</v>
      </c>
      <c r="J389" s="232" t="s">
        <v>1547</v>
      </c>
      <c r="K389" s="233">
        <v>26000</v>
      </c>
      <c r="L389" s="284">
        <f>IF(K389&gt;=Datos!$D$14,(Datos!$D$14*Datos!$C$14),IF(K389&lt;=Datos!$D$14,(K389*Datos!$C$14)))</f>
        <v>746.2</v>
      </c>
      <c r="M389" s="284">
        <f>IF(K389&gt;=Datos!$D$15,(Datos!$D$15*Datos!$C$15),IF(K389&lt;=Datos!$D$15,(K389*Datos!$C$15)))</f>
        <v>790.4</v>
      </c>
      <c r="N389" s="231"/>
      <c r="O389" s="231">
        <f t="shared" si="54"/>
        <v>24463.4</v>
      </c>
      <c r="P389" s="223">
        <f>IF(O389&lt;=Datos!$G$7,"0",IF(O389&lt;=Datos!$G$8,(O389-Datos!$F$8)*Datos!$I$6,IF(O389&lt;=Datos!$G$9,Datos!$I$8+(O389-Datos!$F$9)*Datos!$J$6,IF(O389&gt;=Datos!$F$10,(Datos!$I$8+Datos!$J$8)+(O389-Datos!$F$10)*Datos!$K$6))))-W389</f>
        <v>0</v>
      </c>
      <c r="Q389" s="231">
        <v>0</v>
      </c>
      <c r="R389" s="234"/>
      <c r="S389" s="234"/>
      <c r="T389" s="234"/>
      <c r="U389" s="234"/>
      <c r="V389" s="234">
        <v>25</v>
      </c>
      <c r="W389" s="231"/>
      <c r="X389" s="234">
        <f t="shared" si="53"/>
        <v>1561.6</v>
      </c>
      <c r="Y389" s="234">
        <f t="shared" si="52"/>
        <v>24438.400000000001</v>
      </c>
      <c r="Z389" s="296">
        <v>9607065888</v>
      </c>
      <c r="AA389" s="298">
        <v>45413</v>
      </c>
      <c r="AB389" s="235"/>
      <c r="AC389" s="264"/>
    </row>
    <row r="390" spans="1:29" s="236" customFormat="1" x14ac:dyDescent="0.25">
      <c r="A390" s="232"/>
      <c r="B390" s="302">
        <v>384</v>
      </c>
      <c r="C390" s="295" t="s">
        <v>547</v>
      </c>
      <c r="D390" s="232" t="s">
        <v>786</v>
      </c>
      <c r="E390" s="232" t="s">
        <v>85</v>
      </c>
      <c r="F390" s="232" t="s">
        <v>87</v>
      </c>
      <c r="G390" s="295">
        <v>5</v>
      </c>
      <c r="H390" s="296" t="s">
        <v>1210</v>
      </c>
      <c r="I390" s="297" t="s">
        <v>1060</v>
      </c>
      <c r="J390" s="232" t="s">
        <v>837</v>
      </c>
      <c r="K390" s="233">
        <v>68250</v>
      </c>
      <c r="L390" s="284">
        <f>IF(K390&gt;=Datos!$D$14,(Datos!$D$14*Datos!$C$14),IF(K390&lt;=Datos!$D$14,(K390*Datos!$C$14)))</f>
        <v>1958.7750000000001</v>
      </c>
      <c r="M390" s="284">
        <f>IF(K390&gt;=Datos!$D$15,(Datos!$D$15*Datos!$C$15),IF(K390&lt;=Datos!$D$15,(K390*Datos!$C$15)))</f>
        <v>2074.8000000000002</v>
      </c>
      <c r="N390" s="231"/>
      <c r="O390" s="231">
        <f t="shared" si="54"/>
        <v>64216.425000000003</v>
      </c>
      <c r="P390" s="223">
        <f>IF(O390&lt;=Datos!$G$7,"0",IF(O390&lt;=Datos!$G$8,(O390-Datos!$F$8)*Datos!$I$6,IF(O390&lt;=Datos!$G$9,Datos!$I$8+(O390-Datos!$F$9)*Datos!$J$6,IF(O390&gt;=Datos!$F$10,(Datos!$I$8+Datos!$J$8)+(O390-Datos!$F$10)*Datos!$K$6))))-W390</f>
        <v>5039.1606666666667</v>
      </c>
      <c r="Q390" s="231">
        <f>IFERROR(VLOOKUP(C390,[1]Hoja1!$D$5:$E$58,2,FALSE),0)</f>
        <v>0</v>
      </c>
      <c r="R390" s="234"/>
      <c r="S390" s="234"/>
      <c r="T390" s="234"/>
      <c r="U390" s="234"/>
      <c r="V390" s="234">
        <v>25</v>
      </c>
      <c r="W390" s="231"/>
      <c r="X390" s="234">
        <f t="shared" si="53"/>
        <v>9097.7356666666674</v>
      </c>
      <c r="Y390" s="234">
        <f t="shared" si="52"/>
        <v>59152.264333333333</v>
      </c>
      <c r="Z390" s="296" t="s">
        <v>308</v>
      </c>
      <c r="AA390" s="298">
        <v>44197</v>
      </c>
      <c r="AB390" s="235"/>
      <c r="AC390" s="264"/>
    </row>
    <row r="391" spans="1:29" s="236" customFormat="1" x14ac:dyDescent="0.25">
      <c r="A391" s="232"/>
      <c r="B391" s="302">
        <v>385</v>
      </c>
      <c r="C391" s="295" t="s">
        <v>548</v>
      </c>
      <c r="D391" s="232" t="s">
        <v>787</v>
      </c>
      <c r="E391" s="232" t="s">
        <v>85</v>
      </c>
      <c r="F391" s="232" t="s">
        <v>87</v>
      </c>
      <c r="G391" s="295">
        <v>5</v>
      </c>
      <c r="H391" s="296" t="s">
        <v>1210</v>
      </c>
      <c r="I391" s="297" t="s">
        <v>1062</v>
      </c>
      <c r="J391" s="232" t="s">
        <v>837</v>
      </c>
      <c r="K391" s="233">
        <f>58500+6500</f>
        <v>65000</v>
      </c>
      <c r="L391" s="284">
        <f>IF(K391&gt;=Datos!$D$14,(Datos!$D$14*Datos!$C$14),IF(K391&lt;=Datos!$D$14,(K391*Datos!$C$14)))</f>
        <v>1865.5</v>
      </c>
      <c r="M391" s="284">
        <f>IF(K391&gt;=Datos!$D$15,(Datos!$D$15*Datos!$C$15),IF(K391&lt;=Datos!$D$15,(K391*Datos!$C$15)))</f>
        <v>1976</v>
      </c>
      <c r="N391" s="231"/>
      <c r="O391" s="231">
        <f t="shared" si="54"/>
        <v>61158.5</v>
      </c>
      <c r="P391" s="223">
        <f>IF(O391&lt;=Datos!$G$7,"0",IF(O391&lt;=Datos!$G$8,(O391-Datos!$F$8)*Datos!$I$6,IF(O391&lt;=Datos!$G$9,Datos!$I$8+(O391-Datos!$F$9)*Datos!$J$6,IF(O391&gt;=Datos!$F$10,(Datos!$I$8+Datos!$J$8)+(O391-Datos!$F$10)*Datos!$K$6))))-W391</f>
        <v>4427.5756666666657</v>
      </c>
      <c r="Q391" s="231">
        <f>IFERROR(VLOOKUP(C391,[1]Hoja1!$D$5:$E$58,2,FALSE),0)</f>
        <v>0</v>
      </c>
      <c r="R391" s="234"/>
      <c r="S391" s="234"/>
      <c r="T391" s="234"/>
      <c r="U391" s="234"/>
      <c r="V391" s="234">
        <v>25</v>
      </c>
      <c r="W391" s="231"/>
      <c r="X391" s="234">
        <f t="shared" si="53"/>
        <v>8294.0756666666657</v>
      </c>
      <c r="Y391" s="234">
        <f t="shared" si="52"/>
        <v>56705.924333333336</v>
      </c>
      <c r="Z391" s="296" t="s">
        <v>309</v>
      </c>
      <c r="AA391" s="298">
        <v>44197</v>
      </c>
      <c r="AB391" s="235"/>
      <c r="AC391" s="264"/>
    </row>
    <row r="392" spans="1:29" s="236" customFormat="1" x14ac:dyDescent="0.25">
      <c r="A392" s="232"/>
      <c r="B392" s="302">
        <v>386</v>
      </c>
      <c r="C392" s="295" t="s">
        <v>549</v>
      </c>
      <c r="D392" s="232" t="s">
        <v>788</v>
      </c>
      <c r="E392" s="232" t="s">
        <v>86</v>
      </c>
      <c r="F392" s="232" t="s">
        <v>87</v>
      </c>
      <c r="G392" s="295">
        <v>1</v>
      </c>
      <c r="H392" s="296" t="s">
        <v>1828</v>
      </c>
      <c r="I392" s="297" t="s">
        <v>1060</v>
      </c>
      <c r="J392" s="232" t="s">
        <v>844</v>
      </c>
      <c r="K392" s="233">
        <f>18000+4500</f>
        <v>22500</v>
      </c>
      <c r="L392" s="284">
        <f>IF(K392&gt;=Datos!$D$14,(Datos!$D$14*Datos!$C$14),IF(K392&lt;=Datos!$D$14,(K392*Datos!$C$14)))</f>
        <v>645.75</v>
      </c>
      <c r="M392" s="284">
        <f>IF(K392&gt;=Datos!$D$15,(Datos!$D$15*Datos!$C$15),IF(K392&lt;=Datos!$D$15,(K392*Datos!$C$15)))</f>
        <v>684</v>
      </c>
      <c r="N392" s="231"/>
      <c r="O392" s="231">
        <f t="shared" si="54"/>
        <v>21170.25</v>
      </c>
      <c r="P392" s="223">
        <f>IF(O392&lt;=Datos!$G$7,"0",IF(O392&lt;=Datos!$G$8,(O392-Datos!$F$8)*Datos!$I$6,IF(O392&lt;=Datos!$G$9,Datos!$I$8+(O392-Datos!$F$9)*Datos!$J$6,IF(O392&gt;=Datos!$F$10,(Datos!$I$8+Datos!$J$8)+(O392-Datos!$F$10)*Datos!$K$6))))-W392</f>
        <v>0</v>
      </c>
      <c r="Q392" s="231">
        <f>IFERROR(VLOOKUP(C392,[1]Hoja1!$D$5:$E$58,2,FALSE),0)</f>
        <v>0</v>
      </c>
      <c r="R392" s="234"/>
      <c r="S392" s="234"/>
      <c r="T392" s="234"/>
      <c r="U392" s="234"/>
      <c r="V392" s="234">
        <v>25</v>
      </c>
      <c r="W392" s="231"/>
      <c r="X392" s="234">
        <f t="shared" si="53"/>
        <v>1354.75</v>
      </c>
      <c r="Y392" s="234">
        <f t="shared" si="52"/>
        <v>21145.25</v>
      </c>
      <c r="Z392" s="296" t="s">
        <v>310</v>
      </c>
      <c r="AA392" s="298">
        <v>44197</v>
      </c>
      <c r="AB392" s="235"/>
      <c r="AC392" s="264"/>
    </row>
    <row r="393" spans="1:29" s="236" customFormat="1" x14ac:dyDescent="0.25">
      <c r="A393" s="232"/>
      <c r="B393" s="302">
        <v>387</v>
      </c>
      <c r="C393" s="295" t="s">
        <v>1632</v>
      </c>
      <c r="D393" s="232" t="s">
        <v>1633</v>
      </c>
      <c r="E393" s="232" t="s">
        <v>85</v>
      </c>
      <c r="F393" s="232" t="s">
        <v>87</v>
      </c>
      <c r="G393" s="295">
        <v>1</v>
      </c>
      <c r="H393" s="296" t="s">
        <v>1379</v>
      </c>
      <c r="I393" s="297" t="s">
        <v>1067</v>
      </c>
      <c r="J393" s="232" t="s">
        <v>845</v>
      </c>
      <c r="K393" s="233">
        <v>26000</v>
      </c>
      <c r="L393" s="284">
        <f>IF(K393&gt;=Datos!$D$14,(Datos!$D$14*Datos!$C$14),IF(K393&lt;=Datos!$D$14,(K393*Datos!$C$14)))</f>
        <v>746.2</v>
      </c>
      <c r="M393" s="284">
        <f>IF(K393&gt;=Datos!$D$15,(Datos!$D$15*Datos!$C$15),IF(K393&lt;=Datos!$D$15,(K393*Datos!$C$15)))</f>
        <v>790.4</v>
      </c>
      <c r="N393" s="231"/>
      <c r="O393" s="231">
        <f t="shared" si="54"/>
        <v>24463.4</v>
      </c>
      <c r="P393" s="223">
        <f>IF(O393&lt;=Datos!$G$7,"0",IF(O393&lt;=Datos!$G$8,(O393-Datos!$F$8)*Datos!$I$6,IF(O393&lt;=Datos!$G$9,Datos!$I$8+(O393-Datos!$F$9)*Datos!$J$6,IF(O393&gt;=Datos!$F$10,(Datos!$I$8+Datos!$J$8)+(O393-Datos!$F$10)*Datos!$K$6))))-W393</f>
        <v>0</v>
      </c>
      <c r="Q393" s="231">
        <v>0</v>
      </c>
      <c r="R393" s="234"/>
      <c r="S393" s="234"/>
      <c r="T393" s="234"/>
      <c r="U393" s="234"/>
      <c r="V393" s="234">
        <v>25</v>
      </c>
      <c r="W393" s="231"/>
      <c r="X393" s="234">
        <f t="shared" si="53"/>
        <v>1561.6</v>
      </c>
      <c r="Y393" s="234">
        <f t="shared" si="52"/>
        <v>24438.400000000001</v>
      </c>
      <c r="Z393" s="296">
        <v>9607405792</v>
      </c>
      <c r="AA393" s="298">
        <v>45536</v>
      </c>
      <c r="AB393" s="235"/>
      <c r="AC393" s="264"/>
    </row>
    <row r="394" spans="1:29" s="236" customFormat="1" x14ac:dyDescent="0.25">
      <c r="A394" s="232"/>
      <c r="B394" s="302">
        <v>388</v>
      </c>
      <c r="C394" s="295" t="s">
        <v>550</v>
      </c>
      <c r="D394" s="232" t="s">
        <v>789</v>
      </c>
      <c r="E394" s="232" t="s">
        <v>85</v>
      </c>
      <c r="F394" s="232" t="s">
        <v>87</v>
      </c>
      <c r="G394" s="295">
        <v>5</v>
      </c>
      <c r="H394" s="296" t="s">
        <v>1271</v>
      </c>
      <c r="I394" s="297" t="s">
        <v>1062</v>
      </c>
      <c r="J394" s="232" t="s">
        <v>1566</v>
      </c>
      <c r="K394" s="233">
        <f>67567.5+12432.5+40000</f>
        <v>120000</v>
      </c>
      <c r="L394" s="284">
        <f>IF(K394&gt;=Datos!$D$14,(Datos!$D$14*Datos!$C$14),IF(K394&lt;=Datos!$D$14,(K394*Datos!$C$14)))</f>
        <v>3444</v>
      </c>
      <c r="M394" s="284">
        <f>IF(K394&gt;=Datos!$D$15,(Datos!$D$15*Datos!$C$15),IF(K394&lt;=Datos!$D$15,(K394*Datos!$C$15)))</f>
        <v>3648</v>
      </c>
      <c r="N394" s="231">
        <v>1715.46</v>
      </c>
      <c r="O394" s="231">
        <f t="shared" si="54"/>
        <v>111192.54000000001</v>
      </c>
      <c r="P394" s="223">
        <f>IF(O394&lt;=Datos!$G$7,"0",IF(O394&lt;=Datos!$G$8,(O394-Datos!$F$8)*Datos!$I$6,IF(O394&lt;=Datos!$G$9,Datos!$I$8+(O394-Datos!$F$9)*Datos!$J$6,IF(O394&gt;=Datos!$F$10,(Datos!$I$8+Datos!$J$8)+(O394-Datos!$F$10)*Datos!$K$6))))-W394</f>
        <v>16380.995666666669</v>
      </c>
      <c r="Q394" s="231">
        <f>IFERROR(VLOOKUP(C394,[1]Hoja1!$D$5:$E$58,2,FALSE),0)</f>
        <v>0</v>
      </c>
      <c r="R394" s="234"/>
      <c r="S394" s="234"/>
      <c r="T394" s="234"/>
      <c r="U394" s="234"/>
      <c r="V394" s="234">
        <v>25</v>
      </c>
      <c r="W394" s="231"/>
      <c r="X394" s="234">
        <f t="shared" si="53"/>
        <v>25213.455666666669</v>
      </c>
      <c r="Y394" s="234">
        <f t="shared" si="52"/>
        <v>94786.544333333324</v>
      </c>
      <c r="Z394" s="296" t="s">
        <v>311</v>
      </c>
      <c r="AA394" s="298">
        <v>44197</v>
      </c>
      <c r="AB394" s="235"/>
      <c r="AC394" s="264"/>
    </row>
    <row r="395" spans="1:29" s="236" customFormat="1" x14ac:dyDescent="0.25">
      <c r="A395" s="232"/>
      <c r="B395" s="302">
        <v>389</v>
      </c>
      <c r="C395" s="295" t="s">
        <v>551</v>
      </c>
      <c r="D395" s="232" t="s">
        <v>790</v>
      </c>
      <c r="E395" s="232" t="s">
        <v>85</v>
      </c>
      <c r="F395" s="232" t="s">
        <v>87</v>
      </c>
      <c r="G395" s="295">
        <v>5</v>
      </c>
      <c r="H395" s="296" t="s">
        <v>1210</v>
      </c>
      <c r="I395" s="297" t="s">
        <v>1061</v>
      </c>
      <c r="J395" s="232" t="s">
        <v>837</v>
      </c>
      <c r="K395" s="233">
        <f>40950+19050</f>
        <v>60000</v>
      </c>
      <c r="L395" s="284">
        <f>IF(K395&gt;=Datos!$D$14,(Datos!$D$14*Datos!$C$14),IF(K395&lt;=Datos!$D$14,(K395*Datos!$C$14)))</f>
        <v>1722</v>
      </c>
      <c r="M395" s="284">
        <f>IF(K395&gt;=Datos!$D$15,(Datos!$D$15*Datos!$C$15),IF(K395&lt;=Datos!$D$15,(K395*Datos!$C$15)))</f>
        <v>1824</v>
      </c>
      <c r="N395" s="231"/>
      <c r="O395" s="231">
        <f t="shared" si="54"/>
        <v>56454</v>
      </c>
      <c r="P395" s="223">
        <f>IF(O395&lt;=Datos!$G$7,"0",IF(O395&lt;=Datos!$G$8,(O395-Datos!$F$8)*Datos!$I$6,IF(O395&lt;=Datos!$G$9,Datos!$I$8+(O395-Datos!$F$9)*Datos!$J$6,IF(O395&gt;=Datos!$F$10,(Datos!$I$8+Datos!$J$8)+(O395-Datos!$F$10)*Datos!$K$6))))-W395</f>
        <v>3486.6756666666661</v>
      </c>
      <c r="Q395" s="231">
        <f>IFERROR(VLOOKUP(C395,[1]Hoja1!$D$5:$E$58,2,FALSE),0)</f>
        <v>0</v>
      </c>
      <c r="R395" s="234"/>
      <c r="S395" s="234"/>
      <c r="T395" s="234"/>
      <c r="U395" s="234"/>
      <c r="V395" s="234">
        <v>25</v>
      </c>
      <c r="W395" s="231"/>
      <c r="X395" s="234">
        <f t="shared" si="53"/>
        <v>7057.6756666666661</v>
      </c>
      <c r="Y395" s="234">
        <f t="shared" si="52"/>
        <v>52942.324333333338</v>
      </c>
      <c r="Z395" s="296" t="s">
        <v>312</v>
      </c>
      <c r="AA395" s="298">
        <v>44197</v>
      </c>
      <c r="AB395" s="235"/>
      <c r="AC395" s="264"/>
    </row>
    <row r="396" spans="1:29" s="236" customFormat="1" x14ac:dyDescent="0.25">
      <c r="A396" s="232"/>
      <c r="B396" s="302">
        <v>390</v>
      </c>
      <c r="C396" s="295" t="s">
        <v>973</v>
      </c>
      <c r="D396" s="232" t="s">
        <v>974</v>
      </c>
      <c r="E396" s="232" t="s">
        <v>85</v>
      </c>
      <c r="F396" s="232" t="s">
        <v>87</v>
      </c>
      <c r="G396" s="295">
        <v>5</v>
      </c>
      <c r="H396" s="296" t="s">
        <v>1210</v>
      </c>
      <c r="I396" s="297" t="s">
        <v>1062</v>
      </c>
      <c r="J396" s="232" t="s">
        <v>1304</v>
      </c>
      <c r="K396" s="233">
        <f>25000+10000+25000</f>
        <v>60000</v>
      </c>
      <c r="L396" s="284">
        <f>IF(K396&gt;=Datos!$D$14,(Datos!$D$14*Datos!$C$14),IF(K396&lt;=Datos!$D$14,(K396*Datos!$C$14)))</f>
        <v>1722</v>
      </c>
      <c r="M396" s="284">
        <f>IF(K396&gt;=Datos!$D$15,(Datos!$D$15*Datos!$C$15),IF(K396&lt;=Datos!$D$15,(K396*Datos!$C$15)))</f>
        <v>1824</v>
      </c>
      <c r="N396" s="231"/>
      <c r="O396" s="231">
        <f t="shared" si="54"/>
        <v>56454</v>
      </c>
      <c r="P396" s="223">
        <f>IF(O396&lt;=Datos!$G$7,"0",IF(O396&lt;=Datos!$G$8,(O396-Datos!$F$8)*Datos!$I$6,IF(O396&lt;=Datos!$G$9,Datos!$I$8+(O396-Datos!$F$9)*Datos!$J$6,IF(O396&gt;=Datos!$F$10,(Datos!$I$8+Datos!$J$8)+(O396-Datos!$F$10)*Datos!$K$6))))-W396</f>
        <v>3486.6756666666661</v>
      </c>
      <c r="Q396" s="231">
        <f>IFERROR(VLOOKUP(C396,[1]Hoja1!$D$5:$E$58,2,FALSE),0)</f>
        <v>0</v>
      </c>
      <c r="R396" s="234"/>
      <c r="S396" s="234"/>
      <c r="T396" s="234"/>
      <c r="U396" s="234"/>
      <c r="V396" s="234">
        <v>25</v>
      </c>
      <c r="W396" s="231"/>
      <c r="X396" s="234">
        <f t="shared" si="53"/>
        <v>7057.6756666666661</v>
      </c>
      <c r="Y396" s="234">
        <f t="shared" si="52"/>
        <v>52942.324333333338</v>
      </c>
      <c r="Z396" s="296"/>
      <c r="AA396" s="298">
        <v>44713</v>
      </c>
      <c r="AB396" s="235"/>
      <c r="AC396" s="264"/>
    </row>
    <row r="397" spans="1:29" s="236" customFormat="1" x14ac:dyDescent="0.25">
      <c r="A397" s="232"/>
      <c r="B397" s="302">
        <v>391</v>
      </c>
      <c r="C397" s="295" t="s">
        <v>552</v>
      </c>
      <c r="D397" s="232" t="s">
        <v>791</v>
      </c>
      <c r="E397" s="232" t="s">
        <v>85</v>
      </c>
      <c r="F397" s="232" t="s">
        <v>87</v>
      </c>
      <c r="G397" s="295">
        <v>5</v>
      </c>
      <c r="H397" s="296" t="s">
        <v>1210</v>
      </c>
      <c r="I397" s="297" t="s">
        <v>1062</v>
      </c>
      <c r="J397" s="232" t="s">
        <v>832</v>
      </c>
      <c r="K397" s="233">
        <f>25000+10000</f>
        <v>35000</v>
      </c>
      <c r="L397" s="284">
        <f>IF(K397&gt;=Datos!$D$14,(Datos!$D$14*Datos!$C$14),IF(K397&lt;=Datos!$D$14,(K397*Datos!$C$14)))</f>
        <v>1004.5</v>
      </c>
      <c r="M397" s="284">
        <f>IF(K397&gt;=Datos!$D$15,(Datos!$D$15*Datos!$C$15),IF(K397&lt;=Datos!$D$15,(K397*Datos!$C$15)))</f>
        <v>1064</v>
      </c>
      <c r="N397" s="231"/>
      <c r="O397" s="231">
        <f t="shared" si="54"/>
        <v>32931.5</v>
      </c>
      <c r="P397" s="223">
        <f>IF(O397&lt;=Datos!$G$7,"0",IF(O397&lt;=Datos!$G$8,(O397-Datos!$F$8)*Datos!$I$6,IF(O397&lt;=Datos!$G$9,Datos!$I$8+(O397-Datos!$F$9)*Datos!$J$6,IF(O397&gt;=Datos!$F$10,(Datos!$I$8+Datos!$J$8)+(O397-Datos!$F$10)*Datos!$K$6))))-W397</f>
        <v>0</v>
      </c>
      <c r="Q397" s="231">
        <f>IFERROR(VLOOKUP(C397,[1]Hoja1!$D$5:$E$58,2,FALSE),0)</f>
        <v>0</v>
      </c>
      <c r="R397" s="234"/>
      <c r="S397" s="234"/>
      <c r="T397" s="234"/>
      <c r="U397" s="234"/>
      <c r="V397" s="234">
        <v>25</v>
      </c>
      <c r="W397" s="231"/>
      <c r="X397" s="234">
        <f t="shared" si="53"/>
        <v>2093.5</v>
      </c>
      <c r="Y397" s="234">
        <f t="shared" si="52"/>
        <v>32906.5</v>
      </c>
      <c r="Z397" s="296" t="s">
        <v>313</v>
      </c>
      <c r="AA397" s="298">
        <v>44470</v>
      </c>
      <c r="AB397" s="235"/>
      <c r="AC397" s="264"/>
    </row>
    <row r="398" spans="1:29" s="236" customFormat="1" x14ac:dyDescent="0.25">
      <c r="A398" s="232"/>
      <c r="B398" s="302">
        <v>392</v>
      </c>
      <c r="C398" s="295" t="s">
        <v>1131</v>
      </c>
      <c r="D398" s="232" t="s">
        <v>1132</v>
      </c>
      <c r="E398" s="232" t="s">
        <v>85</v>
      </c>
      <c r="F398" s="232" t="s">
        <v>87</v>
      </c>
      <c r="G398" s="295">
        <v>1</v>
      </c>
      <c r="H398" s="296" t="s">
        <v>1502</v>
      </c>
      <c r="I398" s="297" t="s">
        <v>1067</v>
      </c>
      <c r="J398" s="232" t="s">
        <v>830</v>
      </c>
      <c r="K398" s="233">
        <v>50000</v>
      </c>
      <c r="L398" s="284">
        <f>IF(K398&gt;=Datos!$D$14,(Datos!$D$14*Datos!$C$14),IF(K398&lt;=Datos!$D$14,(K398*Datos!$C$14)))</f>
        <v>1435</v>
      </c>
      <c r="M398" s="284">
        <f>IF(K398&gt;=Datos!$D$15,(Datos!$D$15*Datos!$C$15),IF(K398&lt;=Datos!$D$15,(K398*Datos!$C$15)))</f>
        <v>1520</v>
      </c>
      <c r="N398" s="231"/>
      <c r="O398" s="231">
        <f t="shared" si="54"/>
        <v>47045</v>
      </c>
      <c r="P398" s="223">
        <f>IF(O398&lt;=Datos!$G$7,"0",IF(O398&lt;=Datos!$G$8,(O398-Datos!$F$8)*Datos!$I$6,IF(O398&lt;=Datos!$G$9,Datos!$I$8+(O398-Datos!$F$9)*Datos!$J$6,IF(O398&gt;=Datos!$F$10,(Datos!$I$8+Datos!$J$8)+(O398-Datos!$F$10)*Datos!$K$6))))-W398</f>
        <v>1853.9984999999997</v>
      </c>
      <c r="Q398" s="231">
        <f>IFERROR(VLOOKUP(C398,[1]Hoja1!$D$5:$E$58,2,FALSE),0)</f>
        <v>0</v>
      </c>
      <c r="R398" s="234"/>
      <c r="S398" s="234"/>
      <c r="T398" s="234"/>
      <c r="U398" s="234"/>
      <c r="V398" s="234">
        <v>25</v>
      </c>
      <c r="W398" s="231"/>
      <c r="X398" s="234">
        <f t="shared" si="53"/>
        <v>4833.9984999999997</v>
      </c>
      <c r="Y398" s="234">
        <f t="shared" si="52"/>
        <v>45166.001499999998</v>
      </c>
      <c r="Z398" s="296"/>
      <c r="AA398" s="298">
        <v>44866</v>
      </c>
      <c r="AB398" s="235"/>
      <c r="AC398" s="264"/>
    </row>
    <row r="399" spans="1:29" s="236" customFormat="1" x14ac:dyDescent="0.25">
      <c r="A399" s="232"/>
      <c r="B399" s="302">
        <v>393</v>
      </c>
      <c r="C399" s="295" t="s">
        <v>1371</v>
      </c>
      <c r="D399" s="297" t="s">
        <v>1376</v>
      </c>
      <c r="E399" s="232" t="s">
        <v>85</v>
      </c>
      <c r="F399" s="232" t="s">
        <v>87</v>
      </c>
      <c r="G399" s="295">
        <v>1</v>
      </c>
      <c r="H399" s="296" t="s">
        <v>1379</v>
      </c>
      <c r="I399" s="297" t="s">
        <v>1061</v>
      </c>
      <c r="J399" s="232" t="s">
        <v>845</v>
      </c>
      <c r="K399" s="233">
        <v>26000</v>
      </c>
      <c r="L399" s="284">
        <f>IF(K399&gt;=Datos!$D$14,(Datos!$D$14*Datos!$C$14),IF(K399&lt;=Datos!$D$14,(K399*Datos!$C$14)))</f>
        <v>746.2</v>
      </c>
      <c r="M399" s="284">
        <f>IF(K399&gt;=Datos!$D$15,(Datos!$D$15*Datos!$C$15),IF(K399&lt;=Datos!$D$15,(K399*Datos!$C$15)))</f>
        <v>790.4</v>
      </c>
      <c r="N399" s="231"/>
      <c r="O399" s="231">
        <f t="shared" si="54"/>
        <v>24463.4</v>
      </c>
      <c r="P399" s="223">
        <f>IF(O399&lt;=Datos!$G$7,"0",IF(O399&lt;=Datos!$G$8,(O399-Datos!$F$8)*Datos!$I$6,IF(O399&lt;=Datos!$G$9,Datos!$I$8+(O399-Datos!$F$9)*Datos!$J$6,IF(O399&gt;=Datos!$F$10,(Datos!$I$8+Datos!$J$8)+(O399-Datos!$F$10)*Datos!$K$6))))-W399</f>
        <v>0</v>
      </c>
      <c r="Q399" s="231">
        <v>1000</v>
      </c>
      <c r="R399" s="234"/>
      <c r="S399" s="234"/>
      <c r="T399" s="234"/>
      <c r="U399" s="234"/>
      <c r="V399" s="234">
        <v>25</v>
      </c>
      <c r="W399" s="231"/>
      <c r="X399" s="234">
        <f t="shared" si="53"/>
        <v>2561.6</v>
      </c>
      <c r="Y399" s="234">
        <f t="shared" si="52"/>
        <v>23438.400000000001</v>
      </c>
      <c r="Z399" s="296">
        <v>9606252879</v>
      </c>
      <c r="AA399" s="298" t="s">
        <v>1394</v>
      </c>
      <c r="AB399" s="235"/>
      <c r="AC399" s="264"/>
    </row>
    <row r="400" spans="1:29" s="236" customFormat="1" x14ac:dyDescent="0.25">
      <c r="A400" s="232"/>
      <c r="B400" s="302">
        <v>394</v>
      </c>
      <c r="C400" s="295" t="s">
        <v>1112</v>
      </c>
      <c r="D400" s="232" t="s">
        <v>1113</v>
      </c>
      <c r="E400" s="232" t="s">
        <v>85</v>
      </c>
      <c r="F400" s="232" t="s">
        <v>87</v>
      </c>
      <c r="G400" s="295">
        <v>1</v>
      </c>
      <c r="H400" s="296" t="s">
        <v>1834</v>
      </c>
      <c r="I400" s="297" t="s">
        <v>1062</v>
      </c>
      <c r="J400" s="232" t="s">
        <v>933</v>
      </c>
      <c r="K400" s="233">
        <f>20000+6000</f>
        <v>26000</v>
      </c>
      <c r="L400" s="284">
        <f>IF(K400&gt;=Datos!$D$14,(Datos!$D$14*Datos!$C$14),IF(K400&lt;=Datos!$D$14,(K400*Datos!$C$14)))</f>
        <v>746.2</v>
      </c>
      <c r="M400" s="284">
        <f>IF(K400&gt;=Datos!$D$15,(Datos!$D$15*Datos!$C$15),IF(K400&lt;=Datos!$D$15,(K400*Datos!$C$15)))</f>
        <v>790.4</v>
      </c>
      <c r="N400" s="231"/>
      <c r="O400" s="231">
        <f t="shared" si="54"/>
        <v>24463.4</v>
      </c>
      <c r="P400" s="223">
        <f>IF(O400&lt;=Datos!$G$7,"0",IF(O400&lt;=Datos!$G$8,(O400-Datos!$F$8)*Datos!$I$6,IF(O400&lt;=Datos!$G$9,Datos!$I$8+(O400-Datos!$F$9)*Datos!$J$6,IF(O400&gt;=Datos!$F$10,(Datos!$I$8+Datos!$J$8)+(O400-Datos!$F$10)*Datos!$K$6))))-W400</f>
        <v>0</v>
      </c>
      <c r="Q400" s="231">
        <f>IFERROR(VLOOKUP(C400,[1]Hoja1!$D$5:$E$58,2,FALSE),0)</f>
        <v>0</v>
      </c>
      <c r="R400" s="234"/>
      <c r="S400" s="234"/>
      <c r="T400" s="234"/>
      <c r="U400" s="234"/>
      <c r="V400" s="234">
        <v>25</v>
      </c>
      <c r="W400" s="231"/>
      <c r="X400" s="234">
        <f t="shared" si="53"/>
        <v>1561.6</v>
      </c>
      <c r="Y400" s="234">
        <f t="shared" si="52"/>
        <v>24438.400000000001</v>
      </c>
      <c r="Z400" s="296"/>
      <c r="AA400" s="298">
        <v>44866</v>
      </c>
      <c r="AB400" s="235"/>
      <c r="AC400" s="264"/>
    </row>
    <row r="401" spans="1:29" s="236" customFormat="1" x14ac:dyDescent="0.25">
      <c r="A401" s="232"/>
      <c r="B401" s="302">
        <v>395</v>
      </c>
      <c r="C401" s="295" t="s">
        <v>553</v>
      </c>
      <c r="D401" s="232" t="s">
        <v>792</v>
      </c>
      <c r="E401" s="232" t="s">
        <v>86</v>
      </c>
      <c r="F401" s="232" t="s">
        <v>87</v>
      </c>
      <c r="G401" s="295">
        <v>4</v>
      </c>
      <c r="H401" s="296" t="s">
        <v>1211</v>
      </c>
      <c r="I401" s="297" t="s">
        <v>1062</v>
      </c>
      <c r="J401" s="232" t="s">
        <v>865</v>
      </c>
      <c r="K401" s="233">
        <v>71662.5</v>
      </c>
      <c r="L401" s="284">
        <f>IF(K401&gt;=Datos!$D$14,(Datos!$D$14*Datos!$C$14),IF(K401&lt;=Datos!$D$14,(K401*Datos!$C$14)))</f>
        <v>2056.7137499999999</v>
      </c>
      <c r="M401" s="284">
        <f>IF(K401&gt;=Datos!$D$15,(Datos!$D$15*Datos!$C$15),IF(K401&lt;=Datos!$D$15,(K401*Datos!$C$15)))</f>
        <v>2178.54</v>
      </c>
      <c r="N401" s="231">
        <f>1715.46</f>
        <v>1715.46</v>
      </c>
      <c r="O401" s="231">
        <f t="shared" si="54"/>
        <v>65711.786250000005</v>
      </c>
      <c r="P401" s="223">
        <f>IF(O401&lt;=Datos!$G$7,"0",IF(O401&lt;=Datos!$G$8,(O401-Datos!$F$8)*Datos!$I$6,IF(O401&lt;=Datos!$G$9,Datos!$I$8+(O401-Datos!$F$9)*Datos!$J$6,IF(O401&gt;=Datos!$F$10,(Datos!$I$8+Datos!$J$8)+(O401-Datos!$F$10)*Datos!$K$6))))-W401</f>
        <v>5338.2329166666677</v>
      </c>
      <c r="Q401" s="231">
        <f>IFERROR(VLOOKUP(C401,[1]Hoja1!$D$5:$E$58,2,FALSE),0)</f>
        <v>0</v>
      </c>
      <c r="R401" s="234"/>
      <c r="S401" s="234"/>
      <c r="T401" s="234"/>
      <c r="U401" s="234"/>
      <c r="V401" s="234">
        <v>25</v>
      </c>
      <c r="W401" s="231"/>
      <c r="X401" s="234">
        <f t="shared" si="53"/>
        <v>11313.946666666667</v>
      </c>
      <c r="Y401" s="234">
        <f t="shared" si="52"/>
        <v>60348.55333333333</v>
      </c>
      <c r="Z401" s="296" t="s">
        <v>314</v>
      </c>
      <c r="AA401" s="298">
        <v>39083</v>
      </c>
      <c r="AB401" s="235"/>
      <c r="AC401" s="264"/>
    </row>
    <row r="402" spans="1:29" s="236" customFormat="1" x14ac:dyDescent="0.25">
      <c r="A402" s="232"/>
      <c r="B402" s="302">
        <v>396</v>
      </c>
      <c r="C402" s="295" t="s">
        <v>554</v>
      </c>
      <c r="D402" s="232" t="s">
        <v>793</v>
      </c>
      <c r="E402" s="232" t="s">
        <v>85</v>
      </c>
      <c r="F402" s="232" t="s">
        <v>87</v>
      </c>
      <c r="G402" s="295">
        <v>1</v>
      </c>
      <c r="H402" s="296" t="s">
        <v>1502</v>
      </c>
      <c r="I402" s="297" t="s">
        <v>1061</v>
      </c>
      <c r="J402" s="232" t="s">
        <v>830</v>
      </c>
      <c r="K402" s="233">
        <v>37400</v>
      </c>
      <c r="L402" s="284">
        <f>IF(K402&gt;=Datos!$D$14,(Datos!$D$14*Datos!$C$14),IF(K402&lt;=Datos!$D$14,(K402*Datos!$C$14)))</f>
        <v>1073.3799999999999</v>
      </c>
      <c r="M402" s="284">
        <f>IF(K402&gt;=Datos!$D$15,(Datos!$D$15*Datos!$C$15),IF(K402&lt;=Datos!$D$15,(K402*Datos!$C$15)))</f>
        <v>1136.96</v>
      </c>
      <c r="N402" s="231"/>
      <c r="O402" s="231">
        <f t="shared" si="54"/>
        <v>35189.660000000003</v>
      </c>
      <c r="P402" s="223">
        <f>IF(O402&lt;=Datos!$G$7,"0",IF(O402&lt;=Datos!$G$8,(O402-Datos!$F$8)*Datos!$I$6,IF(O402&lt;=Datos!$G$9,Datos!$I$8+(O402-Datos!$F$9)*Datos!$J$6,IF(O402&gt;=Datos!$F$10,(Datos!$I$8+Datos!$J$8)+(O402-Datos!$F$10)*Datos!$K$6))))-W402</f>
        <v>75.697500000000218</v>
      </c>
      <c r="Q402" s="231">
        <f>IFERROR(VLOOKUP(C402,[1]Hoja1!$D$5:$E$58,2,FALSE),0)</f>
        <v>0</v>
      </c>
      <c r="R402" s="234"/>
      <c r="S402" s="234"/>
      <c r="T402" s="234"/>
      <c r="U402" s="234"/>
      <c r="V402" s="234">
        <v>25</v>
      </c>
      <c r="W402" s="231"/>
      <c r="X402" s="234">
        <f t="shared" si="53"/>
        <v>2311.0375000000004</v>
      </c>
      <c r="Y402" s="234">
        <f t="shared" si="52"/>
        <v>35088.962500000001</v>
      </c>
      <c r="Z402" s="296" t="s">
        <v>315</v>
      </c>
      <c r="AA402" s="298">
        <v>44197</v>
      </c>
      <c r="AB402" s="235"/>
      <c r="AC402" s="264"/>
    </row>
    <row r="403" spans="1:29" s="236" customFormat="1" x14ac:dyDescent="0.25">
      <c r="A403" s="232"/>
      <c r="B403" s="302">
        <v>397</v>
      </c>
      <c r="C403" s="295" t="s">
        <v>556</v>
      </c>
      <c r="D403" s="232" t="s">
        <v>795</v>
      </c>
      <c r="E403" s="232" t="s">
        <v>85</v>
      </c>
      <c r="F403" s="232" t="s">
        <v>87</v>
      </c>
      <c r="G403" s="295">
        <v>4</v>
      </c>
      <c r="H403" s="296" t="s">
        <v>1211</v>
      </c>
      <c r="I403" s="297" t="s">
        <v>1061</v>
      </c>
      <c r="J403" s="232" t="s">
        <v>831</v>
      </c>
      <c r="K403" s="233">
        <v>68250</v>
      </c>
      <c r="L403" s="284">
        <f>IF(K403&gt;=Datos!$D$14,(Datos!$D$14*Datos!$C$14),IF(K403&lt;=Datos!$D$14,(K403*Datos!$C$14)))</f>
        <v>1958.7750000000001</v>
      </c>
      <c r="M403" s="284">
        <f>IF(K403&gt;=Datos!$D$15,(Datos!$D$15*Datos!$C$15),IF(K403&lt;=Datos!$D$15,(K403*Datos!$C$15)))</f>
        <v>2074.8000000000002</v>
      </c>
      <c r="N403" s="231">
        <v>1715.46</v>
      </c>
      <c r="O403" s="231">
        <f t="shared" si="54"/>
        <v>62500.964999999997</v>
      </c>
      <c r="P403" s="223">
        <f>IF(O403&lt;=Datos!$G$7,"0",IF(O403&lt;=Datos!$G$8,(O403-Datos!$F$8)*Datos!$I$6,IF(O403&lt;=Datos!$G$9,Datos!$I$8+(O403-Datos!$F$9)*Datos!$J$6,IF(O403&gt;=Datos!$F$10,(Datos!$I$8+Datos!$J$8)+(O403-Datos!$F$10)*Datos!$K$6))))-W403</f>
        <v>4696.0686666666661</v>
      </c>
      <c r="Q403" s="231">
        <f>IFERROR(VLOOKUP(C403,[1]Hoja1!$D$5:$E$58,2,FALSE),0)</f>
        <v>0</v>
      </c>
      <c r="R403" s="234"/>
      <c r="S403" s="234"/>
      <c r="T403" s="234"/>
      <c r="U403" s="234"/>
      <c r="V403" s="234">
        <v>25</v>
      </c>
      <c r="W403" s="231"/>
      <c r="X403" s="234">
        <f t="shared" si="53"/>
        <v>10470.103666666666</v>
      </c>
      <c r="Y403" s="234">
        <f t="shared" si="52"/>
        <v>57779.896333333338</v>
      </c>
      <c r="Z403" s="296" t="s">
        <v>316</v>
      </c>
      <c r="AA403" s="298">
        <v>44197</v>
      </c>
      <c r="AB403" s="235"/>
      <c r="AC403" s="264"/>
    </row>
    <row r="404" spans="1:29" s="236" customFormat="1" x14ac:dyDescent="0.25">
      <c r="A404" s="232"/>
      <c r="B404" s="302">
        <v>398</v>
      </c>
      <c r="C404" s="295" t="s">
        <v>557</v>
      </c>
      <c r="D404" s="232" t="s">
        <v>796</v>
      </c>
      <c r="E404" s="232" t="s">
        <v>85</v>
      </c>
      <c r="F404" s="232" t="s">
        <v>87</v>
      </c>
      <c r="G404" s="295">
        <v>1</v>
      </c>
      <c r="H404" s="296" t="s">
        <v>1156</v>
      </c>
      <c r="I404" s="297" t="s">
        <v>1187</v>
      </c>
      <c r="J404" s="232" t="s">
        <v>858</v>
      </c>
      <c r="K404" s="233">
        <v>65000</v>
      </c>
      <c r="L404" s="284">
        <f>IF(K404&gt;=Datos!$D$14,(Datos!$D$14*Datos!$C$14),IF(K404&lt;=Datos!$D$14,(K404*Datos!$C$14)))</f>
        <v>1865.5</v>
      </c>
      <c r="M404" s="284">
        <f>IF(K404&gt;=Datos!$D$15,(Datos!$D$15*Datos!$C$15),IF(K404&lt;=Datos!$D$15,(K404*Datos!$C$15)))</f>
        <v>1976</v>
      </c>
      <c r="N404" s="231"/>
      <c r="O404" s="231">
        <f t="shared" si="54"/>
        <v>61158.5</v>
      </c>
      <c r="P404" s="223">
        <f>IF(O404&lt;=Datos!$G$7,"0",IF(O404&lt;=Datos!$G$8,(O404-Datos!$F$8)*Datos!$I$6,IF(O404&lt;=Datos!$G$9,Datos!$I$8+(O404-Datos!$F$9)*Datos!$J$6,IF(O404&gt;=Datos!$F$10,(Datos!$I$8+Datos!$J$8)+(O404-Datos!$F$10)*Datos!$K$6))))-W404</f>
        <v>4427.5756666666657</v>
      </c>
      <c r="Q404" s="231">
        <v>5835.57</v>
      </c>
      <c r="R404" s="234"/>
      <c r="S404" s="234"/>
      <c r="T404" s="234"/>
      <c r="U404" s="234"/>
      <c r="V404" s="231">
        <v>25</v>
      </c>
      <c r="W404" s="231"/>
      <c r="X404" s="234">
        <f t="shared" si="53"/>
        <v>14129.645666666665</v>
      </c>
      <c r="Y404" s="234">
        <f t="shared" si="52"/>
        <v>50870.354333333336</v>
      </c>
      <c r="Z404" s="296" t="s">
        <v>317</v>
      </c>
      <c r="AA404" s="298">
        <v>44197</v>
      </c>
      <c r="AB404" s="235"/>
      <c r="AC404" s="264"/>
    </row>
    <row r="405" spans="1:29" s="236" customFormat="1" x14ac:dyDescent="0.25">
      <c r="A405" s="232"/>
      <c r="B405" s="302">
        <v>399</v>
      </c>
      <c r="C405" s="295" t="s">
        <v>558</v>
      </c>
      <c r="D405" s="232" t="s">
        <v>797</v>
      </c>
      <c r="E405" s="232" t="s">
        <v>86</v>
      </c>
      <c r="F405" s="232" t="s">
        <v>87</v>
      </c>
      <c r="G405" s="295">
        <v>1</v>
      </c>
      <c r="H405" s="296" t="s">
        <v>1548</v>
      </c>
      <c r="I405" s="297" t="s">
        <v>1067</v>
      </c>
      <c r="J405" s="232" t="s">
        <v>852</v>
      </c>
      <c r="K405" s="233">
        <v>22500</v>
      </c>
      <c r="L405" s="284">
        <f>IF(K405&gt;=Datos!$D$14,(Datos!$D$14*Datos!$C$14),IF(K405&lt;=Datos!$D$14,(K405*Datos!$C$14)))</f>
        <v>645.75</v>
      </c>
      <c r="M405" s="284">
        <f>IF(K405&gt;=Datos!$D$15,(Datos!$D$15*Datos!$C$15),IF(K405&lt;=Datos!$D$15,(K405*Datos!$C$15)))</f>
        <v>684</v>
      </c>
      <c r="N405" s="231"/>
      <c r="O405" s="231">
        <f t="shared" si="54"/>
        <v>21170.25</v>
      </c>
      <c r="P405" s="223">
        <f>IF(O405&lt;=Datos!$G$7,"0",IF(O405&lt;=Datos!$G$8,(O405-Datos!$F$8)*Datos!$I$6,IF(O405&lt;=Datos!$G$9,Datos!$I$8+(O405-Datos!$F$9)*Datos!$J$6,IF(O405&gt;=Datos!$F$10,(Datos!$I$8+Datos!$J$8)+(O405-Datos!$F$10)*Datos!$K$6))))-W405</f>
        <v>0</v>
      </c>
      <c r="Q405" s="231">
        <v>5196.08</v>
      </c>
      <c r="R405" s="234"/>
      <c r="S405" s="234"/>
      <c r="T405" s="234"/>
      <c r="U405" s="234"/>
      <c r="V405" s="234">
        <v>25</v>
      </c>
      <c r="W405" s="231"/>
      <c r="X405" s="234">
        <f t="shared" si="53"/>
        <v>6550.83</v>
      </c>
      <c r="Y405" s="234">
        <f t="shared" si="52"/>
        <v>15949.17</v>
      </c>
      <c r="Z405" s="296" t="s">
        <v>318</v>
      </c>
      <c r="AA405" s="298">
        <v>44197</v>
      </c>
      <c r="AB405" s="235"/>
      <c r="AC405" s="264"/>
    </row>
    <row r="406" spans="1:29" s="236" customFormat="1" x14ac:dyDescent="0.25">
      <c r="A406" s="232"/>
      <c r="B406" s="302">
        <v>400</v>
      </c>
      <c r="C406" s="295" t="s">
        <v>1425</v>
      </c>
      <c r="D406" s="232" t="s">
        <v>1426</v>
      </c>
      <c r="E406" s="232" t="s">
        <v>85</v>
      </c>
      <c r="F406" s="232" t="s">
        <v>87</v>
      </c>
      <c r="G406" s="295">
        <v>1</v>
      </c>
      <c r="H406" s="296" t="s">
        <v>1379</v>
      </c>
      <c r="I406" s="297" t="s">
        <v>1060</v>
      </c>
      <c r="J406" s="232" t="s">
        <v>845</v>
      </c>
      <c r="K406" s="233">
        <v>26000</v>
      </c>
      <c r="L406" s="284">
        <f>IF(K406&gt;=Datos!$D$14,(Datos!$D$14*Datos!$C$14),IF(K406&lt;=Datos!$D$14,(K406*Datos!$C$14)))</f>
        <v>746.2</v>
      </c>
      <c r="M406" s="284">
        <f>IF(K406&gt;=Datos!$D$15,(Datos!$D$15*Datos!$C$15),IF(K406&lt;=Datos!$D$15,(K406*Datos!$C$15)))</f>
        <v>790.4</v>
      </c>
      <c r="N406" s="231"/>
      <c r="O406" s="231">
        <f t="shared" si="54"/>
        <v>24463.4</v>
      </c>
      <c r="P406" s="223">
        <f>IF(O406&lt;=Datos!$G$7,"0",IF(O406&lt;=Datos!$G$8,(O406-Datos!$F$8)*Datos!$I$6,IF(O406&lt;=Datos!$G$9,Datos!$I$8+(O406-Datos!$F$9)*Datos!$J$6,IF(O406&gt;=Datos!$F$10,(Datos!$I$8+Datos!$J$8)+(O406-Datos!$F$10)*Datos!$K$6))))-W406</f>
        <v>0</v>
      </c>
      <c r="Q406" s="231">
        <v>0</v>
      </c>
      <c r="R406" s="234"/>
      <c r="S406" s="234"/>
      <c r="T406" s="234"/>
      <c r="U406" s="234"/>
      <c r="V406" s="234">
        <v>25</v>
      </c>
      <c r="W406" s="231"/>
      <c r="X406" s="234">
        <f t="shared" si="53"/>
        <v>1561.6</v>
      </c>
      <c r="Y406" s="234">
        <f t="shared" si="52"/>
        <v>24438.400000000001</v>
      </c>
      <c r="Z406" s="296">
        <v>9606355144</v>
      </c>
      <c r="AA406" s="298">
        <v>45231</v>
      </c>
      <c r="AB406" s="235"/>
      <c r="AC406" s="264"/>
    </row>
    <row r="407" spans="1:29" s="236" customFormat="1" x14ac:dyDescent="0.25">
      <c r="A407" s="232"/>
      <c r="B407" s="302">
        <v>401</v>
      </c>
      <c r="C407" s="295" t="s">
        <v>559</v>
      </c>
      <c r="D407" s="232" t="s">
        <v>798</v>
      </c>
      <c r="E407" s="232" t="s">
        <v>85</v>
      </c>
      <c r="F407" s="232" t="s">
        <v>87</v>
      </c>
      <c r="G407" s="295">
        <v>1</v>
      </c>
      <c r="H407" s="296" t="s">
        <v>1379</v>
      </c>
      <c r="I407" s="297" t="s">
        <v>1061</v>
      </c>
      <c r="J407" s="232" t="s">
        <v>845</v>
      </c>
      <c r="K407" s="233">
        <f>15000+3000+8000</f>
        <v>26000</v>
      </c>
      <c r="L407" s="284">
        <f>IF(K407&gt;=Datos!$D$14,(Datos!$D$14*Datos!$C$14),IF(K407&lt;=Datos!$D$14,(K407*Datos!$C$14)))</f>
        <v>746.2</v>
      </c>
      <c r="M407" s="284">
        <f>IF(K407&gt;=Datos!$D$15,(Datos!$D$15*Datos!$C$15),IF(K407&lt;=Datos!$D$15,(K407*Datos!$C$15)))</f>
        <v>790.4</v>
      </c>
      <c r="N407" s="231"/>
      <c r="O407" s="231">
        <f t="shared" si="54"/>
        <v>24463.4</v>
      </c>
      <c r="P407" s="223">
        <f>IF(O407&lt;=Datos!$G$7,"0",IF(O407&lt;=Datos!$G$8,(O407-Datos!$F$8)*Datos!$I$6,IF(O407&lt;=Datos!$G$9,Datos!$I$8+(O407-Datos!$F$9)*Datos!$J$6,IF(O407&gt;=Datos!$F$10,(Datos!$I$8+Datos!$J$8)+(O407-Datos!$F$10)*Datos!$K$6))))-W407</f>
        <v>0</v>
      </c>
      <c r="Q407" s="231">
        <v>8000</v>
      </c>
      <c r="R407" s="234"/>
      <c r="S407" s="234"/>
      <c r="T407" s="234"/>
      <c r="U407" s="234"/>
      <c r="V407" s="234">
        <v>25</v>
      </c>
      <c r="W407" s="231"/>
      <c r="X407" s="234">
        <f t="shared" si="53"/>
        <v>9561.6</v>
      </c>
      <c r="Y407" s="234">
        <f t="shared" si="52"/>
        <v>16438.400000000001</v>
      </c>
      <c r="Z407" s="296" t="s">
        <v>319</v>
      </c>
      <c r="AA407" s="298">
        <v>44197</v>
      </c>
      <c r="AB407" s="235"/>
      <c r="AC407" s="264"/>
    </row>
    <row r="408" spans="1:29" s="236" customFormat="1" x14ac:dyDescent="0.25">
      <c r="A408" s="232"/>
      <c r="B408" s="302">
        <v>402</v>
      </c>
      <c r="C408" s="295" t="s">
        <v>561</v>
      </c>
      <c r="D408" s="232" t="s">
        <v>800</v>
      </c>
      <c r="E408" s="232" t="s">
        <v>85</v>
      </c>
      <c r="F408" s="232" t="s">
        <v>87</v>
      </c>
      <c r="G408" s="295">
        <v>5</v>
      </c>
      <c r="H408" s="296" t="s">
        <v>1210</v>
      </c>
      <c r="I408" s="297" t="s">
        <v>1062</v>
      </c>
      <c r="J408" s="232" t="s">
        <v>837</v>
      </c>
      <c r="K408" s="233">
        <v>67567.5</v>
      </c>
      <c r="L408" s="284">
        <f>IF(K408&gt;=Datos!$D$14,(Datos!$D$14*Datos!$C$14),IF(K408&lt;=Datos!$D$14,(K408*Datos!$C$14)))</f>
        <v>1939.1872499999999</v>
      </c>
      <c r="M408" s="284">
        <f>IF(K408&gt;=Datos!$D$15,(Datos!$D$15*Datos!$C$15),IF(K408&lt;=Datos!$D$15,(K408*Datos!$C$15)))</f>
        <v>2054.0520000000001</v>
      </c>
      <c r="N408" s="231"/>
      <c r="O408" s="231">
        <f t="shared" si="54"/>
        <v>63574.260750000001</v>
      </c>
      <c r="P408" s="223">
        <f>IF(O408&lt;=Datos!$G$7,"0",IF(O408&lt;=Datos!$G$8,(O408-Datos!$F$8)*Datos!$I$6,IF(O408&lt;=Datos!$G$9,Datos!$I$8+(O408-Datos!$F$9)*Datos!$J$6,IF(O408&gt;=Datos!$F$10,(Datos!$I$8+Datos!$J$8)+(O408-Datos!$F$10)*Datos!$K$6))))-W408</f>
        <v>4910.7278166666665</v>
      </c>
      <c r="Q408" s="231">
        <f>IFERROR(VLOOKUP(C408,[1]Hoja1!$D$5:$E$58,2,FALSE),0)</f>
        <v>0</v>
      </c>
      <c r="R408" s="234"/>
      <c r="S408" s="234"/>
      <c r="T408" s="234"/>
      <c r="U408" s="234"/>
      <c r="V408" s="234">
        <v>25</v>
      </c>
      <c r="W408" s="231"/>
      <c r="X408" s="234">
        <f t="shared" si="53"/>
        <v>8928.9670666666661</v>
      </c>
      <c r="Y408" s="234">
        <f t="shared" si="52"/>
        <v>58638.532933333336</v>
      </c>
      <c r="Z408" s="296" t="s">
        <v>321</v>
      </c>
      <c r="AA408" s="298">
        <v>44197</v>
      </c>
      <c r="AB408" s="235"/>
      <c r="AC408" s="264"/>
    </row>
    <row r="409" spans="1:29" s="236" customFormat="1" x14ac:dyDescent="0.25">
      <c r="A409" s="232"/>
      <c r="B409" s="302">
        <v>403</v>
      </c>
      <c r="C409" s="295" t="s">
        <v>562</v>
      </c>
      <c r="D409" s="232" t="s">
        <v>801</v>
      </c>
      <c r="E409" s="232" t="s">
        <v>85</v>
      </c>
      <c r="F409" s="232" t="s">
        <v>87</v>
      </c>
      <c r="G409" s="295">
        <v>5</v>
      </c>
      <c r="H409" s="296" t="s">
        <v>1210</v>
      </c>
      <c r="I409" s="297" t="s">
        <v>1060</v>
      </c>
      <c r="J409" s="232" t="s">
        <v>948</v>
      </c>
      <c r="K409" s="233">
        <f>25000+5000+5000</f>
        <v>35000</v>
      </c>
      <c r="L409" s="284">
        <f>IF(K409&gt;=Datos!$D$14,(Datos!$D$14*Datos!$C$14),IF(K409&lt;=Datos!$D$14,(K409*Datos!$C$14)))</f>
        <v>1004.5</v>
      </c>
      <c r="M409" s="284">
        <f>IF(K409&gt;=Datos!$D$15,(Datos!$D$15*Datos!$C$15),IF(K409&lt;=Datos!$D$15,(K409*Datos!$C$15)))</f>
        <v>1064</v>
      </c>
      <c r="N409" s="231"/>
      <c r="O409" s="231">
        <f t="shared" si="54"/>
        <v>32931.5</v>
      </c>
      <c r="P409" s="223">
        <f>IF(O409&lt;=Datos!$G$7,"0",IF(O409&lt;=Datos!$G$8,(O409-Datos!$F$8)*Datos!$I$6,IF(O409&lt;=Datos!$G$9,Datos!$I$8+(O409-Datos!$F$9)*Datos!$J$6,IF(O409&gt;=Datos!$F$10,(Datos!$I$8+Datos!$J$8)+(O409-Datos!$F$10)*Datos!$K$6))))-W409</f>
        <v>0</v>
      </c>
      <c r="Q409" s="231">
        <f>IFERROR(VLOOKUP(C409,[1]Hoja1!$D$5:$E$58,2,FALSE),0)</f>
        <v>0</v>
      </c>
      <c r="R409" s="234"/>
      <c r="S409" s="234"/>
      <c r="T409" s="234"/>
      <c r="U409" s="234"/>
      <c r="V409" s="234">
        <v>25</v>
      </c>
      <c r="W409" s="231"/>
      <c r="X409" s="234">
        <f t="shared" si="53"/>
        <v>2093.5</v>
      </c>
      <c r="Y409" s="234">
        <f t="shared" si="52"/>
        <v>32906.5</v>
      </c>
      <c r="Z409" s="296" t="s">
        <v>322</v>
      </c>
      <c r="AA409" s="298">
        <v>44336</v>
      </c>
      <c r="AB409" s="235"/>
      <c r="AC409" s="264"/>
    </row>
    <row r="410" spans="1:29" s="236" customFormat="1" x14ac:dyDescent="0.25">
      <c r="A410" s="232"/>
      <c r="B410" s="302">
        <v>404</v>
      </c>
      <c r="C410" s="295" t="s">
        <v>563</v>
      </c>
      <c r="D410" s="232" t="s">
        <v>802</v>
      </c>
      <c r="E410" s="232" t="s">
        <v>85</v>
      </c>
      <c r="F410" s="232" t="s">
        <v>87</v>
      </c>
      <c r="G410" s="295">
        <v>4</v>
      </c>
      <c r="H410" s="296" t="s">
        <v>1211</v>
      </c>
      <c r="I410" s="297" t="s">
        <v>1060</v>
      </c>
      <c r="J410" s="232" t="s">
        <v>1565</v>
      </c>
      <c r="K410" s="233">
        <f>71500+8500</f>
        <v>80000</v>
      </c>
      <c r="L410" s="284">
        <f>IF(K410&gt;=Datos!$D$14,(Datos!$D$14*Datos!$C$14),IF(K410&lt;=Datos!$D$14,(K410*Datos!$C$14)))</f>
        <v>2296</v>
      </c>
      <c r="M410" s="284">
        <f>IF(K410&gt;=Datos!$D$15,(Datos!$D$15*Datos!$C$15),IF(K410&lt;=Datos!$D$15,(K410*Datos!$C$15)))</f>
        <v>2432</v>
      </c>
      <c r="N410" s="231">
        <v>1715.46</v>
      </c>
      <c r="O410" s="231">
        <f t="shared" si="54"/>
        <v>73556.539999999994</v>
      </c>
      <c r="P410" s="223">
        <f>IF(O410&lt;=Datos!$G$7,"0",IF(O410&lt;=Datos!$G$8,(O410-Datos!$F$8)*Datos!$I$6,IF(O410&lt;=Datos!$G$9,Datos!$I$8+(O410-Datos!$F$9)*Datos!$J$6,IF(O410&gt;=Datos!$F$10,(Datos!$I$8+Datos!$J$8)+(O410-Datos!$F$10)*Datos!$K$6))))-W410</f>
        <v>6971.9956666666658</v>
      </c>
      <c r="Q410" s="231">
        <f>IFERROR(VLOOKUP(C410,[1]Hoja1!$D$5:$E$58,2,FALSE),0)</f>
        <v>0</v>
      </c>
      <c r="R410" s="234"/>
      <c r="S410" s="234"/>
      <c r="T410" s="234"/>
      <c r="U410" s="234"/>
      <c r="V410" s="234">
        <v>25</v>
      </c>
      <c r="W410" s="231"/>
      <c r="X410" s="234">
        <f t="shared" si="53"/>
        <v>13440.455666666665</v>
      </c>
      <c r="Y410" s="234">
        <f t="shared" si="52"/>
        <v>66559.544333333339</v>
      </c>
      <c r="Z410" s="296" t="s">
        <v>323</v>
      </c>
      <c r="AA410" s="298">
        <v>40087</v>
      </c>
      <c r="AB410" s="235"/>
      <c r="AC410" s="264"/>
    </row>
    <row r="411" spans="1:29" s="236" customFormat="1" x14ac:dyDescent="0.25">
      <c r="A411" s="232"/>
      <c r="B411" s="302">
        <v>405</v>
      </c>
      <c r="C411" s="295" t="s">
        <v>564</v>
      </c>
      <c r="D411" s="232" t="s">
        <v>803</v>
      </c>
      <c r="E411" s="232" t="s">
        <v>86</v>
      </c>
      <c r="F411" s="232" t="s">
        <v>87</v>
      </c>
      <c r="G411" s="295">
        <v>1</v>
      </c>
      <c r="H411" s="296" t="s">
        <v>1548</v>
      </c>
      <c r="I411" s="297" t="s">
        <v>1061</v>
      </c>
      <c r="J411" s="232" t="s">
        <v>847</v>
      </c>
      <c r="K411" s="233">
        <v>13860</v>
      </c>
      <c r="L411" s="284">
        <f>IF(K411&gt;=Datos!$D$14,(Datos!$D$14*Datos!$C$14),IF(K411&lt;=Datos!$D$14,(K411*Datos!$C$14)))</f>
        <v>397.78199999999998</v>
      </c>
      <c r="M411" s="284">
        <f>IF(K411&gt;=Datos!$D$15,(Datos!$D$15*Datos!$C$15),IF(K411&lt;=Datos!$D$15,(K411*Datos!$C$15)))</f>
        <v>421.34399999999999</v>
      </c>
      <c r="N411" s="231"/>
      <c r="O411" s="231">
        <f t="shared" si="54"/>
        <v>13040.874</v>
      </c>
      <c r="P411" s="223">
        <f>IF(O411&lt;=Datos!$G$7,"0",IF(O411&lt;=Datos!$G$8,(O411-Datos!$F$8)*Datos!$I$6,IF(O411&lt;=Datos!$G$9,Datos!$I$8+(O411-Datos!$F$9)*Datos!$J$6,IF(O411&gt;=Datos!$F$10,(Datos!$I$8+Datos!$J$8)+(O411-Datos!$F$10)*Datos!$K$6))))-W411</f>
        <v>0</v>
      </c>
      <c r="Q411" s="231">
        <f>IFERROR(VLOOKUP(C411,[1]Hoja1!$D$5:$E$58,2,FALSE),0)</f>
        <v>0</v>
      </c>
      <c r="R411" s="234"/>
      <c r="S411" s="234"/>
      <c r="T411" s="234"/>
      <c r="U411" s="234"/>
      <c r="V411" s="234">
        <v>25</v>
      </c>
      <c r="W411" s="231"/>
      <c r="X411" s="234">
        <f t="shared" si="53"/>
        <v>844.12599999999998</v>
      </c>
      <c r="Y411" s="234">
        <f t="shared" si="52"/>
        <v>13015.874</v>
      </c>
      <c r="Z411" s="296" t="s">
        <v>324</v>
      </c>
      <c r="AA411" s="298">
        <v>44197</v>
      </c>
      <c r="AB411" s="235"/>
      <c r="AC411" s="264"/>
    </row>
    <row r="412" spans="1:29" s="236" customFormat="1" x14ac:dyDescent="0.25">
      <c r="A412" s="232"/>
      <c r="B412" s="302">
        <v>406</v>
      </c>
      <c r="C412" s="295" t="s">
        <v>1634</v>
      </c>
      <c r="D412" s="232" t="s">
        <v>1635</v>
      </c>
      <c r="E412" s="232" t="s">
        <v>86</v>
      </c>
      <c r="F412" s="232" t="s">
        <v>87</v>
      </c>
      <c r="G412" s="295">
        <v>1</v>
      </c>
      <c r="H412" s="296" t="s">
        <v>1636</v>
      </c>
      <c r="I412" s="297" t="s">
        <v>1060</v>
      </c>
      <c r="J412" s="232" t="s">
        <v>1631</v>
      </c>
      <c r="K412" s="233">
        <v>33000</v>
      </c>
      <c r="L412" s="284">
        <f>IF(K412&gt;=Datos!$D$14,(Datos!$D$14*Datos!$C$14),IF(K412&lt;=Datos!$D$14,(K412*Datos!$C$14)))</f>
        <v>947.1</v>
      </c>
      <c r="M412" s="284">
        <f>IF(K412&gt;=Datos!$D$15,(Datos!$D$15*Datos!$C$15),IF(K412&lt;=Datos!$D$15,(K412*Datos!$C$15)))</f>
        <v>1003.2</v>
      </c>
      <c r="N412" s="231"/>
      <c r="O412" s="231">
        <f t="shared" si="54"/>
        <v>31049.7</v>
      </c>
      <c r="P412" s="223">
        <f>IF(O412&lt;=Datos!$G$7,"0",IF(O412&lt;=Datos!$G$8,(O412-Datos!$F$8)*Datos!$I$6,IF(O412&lt;=Datos!$G$9,Datos!$I$8+(O412-Datos!$F$9)*Datos!$J$6,IF(O412&gt;=Datos!$F$10,(Datos!$I$8+Datos!$J$8)+(O412-Datos!$F$10)*Datos!$K$6))))-W412</f>
        <v>0</v>
      </c>
      <c r="Q412" s="231">
        <v>1513.05</v>
      </c>
      <c r="R412" s="234"/>
      <c r="S412" s="234"/>
      <c r="T412" s="234"/>
      <c r="U412" s="234"/>
      <c r="V412" s="234">
        <v>25</v>
      </c>
      <c r="W412" s="231"/>
      <c r="X412" s="234">
        <f t="shared" si="53"/>
        <v>3488.3500000000004</v>
      </c>
      <c r="Y412" s="234">
        <f t="shared" si="52"/>
        <v>29511.65</v>
      </c>
      <c r="Z412" s="296">
        <v>9607405816</v>
      </c>
      <c r="AA412" s="298">
        <v>45536</v>
      </c>
      <c r="AB412" s="235"/>
      <c r="AC412" s="264"/>
    </row>
    <row r="413" spans="1:29" s="236" customFormat="1" x14ac:dyDescent="0.25">
      <c r="A413" s="232"/>
      <c r="B413" s="302">
        <v>407</v>
      </c>
      <c r="C413" s="295" t="s">
        <v>566</v>
      </c>
      <c r="D413" s="232" t="s">
        <v>805</v>
      </c>
      <c r="E413" s="232" t="s">
        <v>85</v>
      </c>
      <c r="F413" s="232" t="s">
        <v>87</v>
      </c>
      <c r="G413" s="295">
        <v>4</v>
      </c>
      <c r="H413" s="296" t="s">
        <v>1211</v>
      </c>
      <c r="I413" s="297" t="s">
        <v>1060</v>
      </c>
      <c r="J413" s="232" t="s">
        <v>835</v>
      </c>
      <c r="K413" s="233">
        <v>70946.2</v>
      </c>
      <c r="L413" s="284">
        <f>IF(K413&gt;=Datos!$D$14,(Datos!$D$14*Datos!$C$14),IF(K413&lt;=Datos!$D$14,(K413*Datos!$C$14)))</f>
        <v>2036.1559399999999</v>
      </c>
      <c r="M413" s="284">
        <f>IF(K413&gt;=Datos!$D$15,(Datos!$D$15*Datos!$C$15),IF(K413&lt;=Datos!$D$15,(K413*Datos!$C$15)))</f>
        <v>2156.7644799999998</v>
      </c>
      <c r="N413" s="231"/>
      <c r="O413" s="231">
        <f t="shared" si="54"/>
        <v>66753.279580000002</v>
      </c>
      <c r="P413" s="223">
        <f>IF(O413&lt;=Datos!$G$7,"0",IF(O413&lt;=Datos!$G$8,(O413-Datos!$F$8)*Datos!$I$6,IF(O413&lt;=Datos!$G$9,Datos!$I$8+(O413-Datos!$F$9)*Datos!$J$6,IF(O413&gt;=Datos!$F$10,(Datos!$I$8+Datos!$J$8)+(O413-Datos!$F$10)*Datos!$K$6))))-W413</f>
        <v>5546.5315826666665</v>
      </c>
      <c r="Q413" s="231">
        <f>IFERROR(VLOOKUP(C413,[1]Hoja1!$D$5:$E$58,2,FALSE),0)</f>
        <v>0</v>
      </c>
      <c r="R413" s="234"/>
      <c r="S413" s="234"/>
      <c r="T413" s="234"/>
      <c r="U413" s="234"/>
      <c r="V413" s="234">
        <v>25</v>
      </c>
      <c r="W413" s="231"/>
      <c r="X413" s="234">
        <f t="shared" si="53"/>
        <v>9764.4520026666651</v>
      </c>
      <c r="Y413" s="234">
        <f t="shared" si="52"/>
        <v>61181.747997333332</v>
      </c>
      <c r="Z413" s="296" t="s">
        <v>326</v>
      </c>
      <c r="AA413" s="298">
        <v>44197</v>
      </c>
      <c r="AB413" s="235"/>
      <c r="AC413" s="264"/>
    </row>
    <row r="414" spans="1:29" s="236" customFormat="1" x14ac:dyDescent="0.25">
      <c r="A414" s="232"/>
      <c r="B414" s="302">
        <v>408</v>
      </c>
      <c r="C414" s="295" t="s">
        <v>567</v>
      </c>
      <c r="D414" s="232" t="s">
        <v>806</v>
      </c>
      <c r="E414" s="232" t="s">
        <v>85</v>
      </c>
      <c r="F414" s="232" t="s">
        <v>87</v>
      </c>
      <c r="G414" s="295">
        <v>4</v>
      </c>
      <c r="H414" s="296" t="s">
        <v>1211</v>
      </c>
      <c r="I414" s="297" t="s">
        <v>1067</v>
      </c>
      <c r="J414" s="232" t="s">
        <v>835</v>
      </c>
      <c r="K414" s="233">
        <v>78000</v>
      </c>
      <c r="L414" s="284">
        <f>IF(K414&gt;=Datos!$D$14,(Datos!$D$14*Datos!$C$14),IF(K414&lt;=Datos!$D$14,(K414*Datos!$C$14)))</f>
        <v>2238.6</v>
      </c>
      <c r="M414" s="284">
        <f>IF(K414&gt;=Datos!$D$15,(Datos!$D$15*Datos!$C$15),IF(K414&lt;=Datos!$D$15,(K414*Datos!$C$15)))</f>
        <v>2371.1999999999998</v>
      </c>
      <c r="N414" s="231"/>
      <c r="O414" s="231">
        <f t="shared" si="54"/>
        <v>73390.2</v>
      </c>
      <c r="P414" s="223">
        <f>IF(O414&lt;=Datos!$G$7,"0",IF(O414&lt;=Datos!$G$8,(O414-Datos!$F$8)*Datos!$I$6,IF(O414&lt;=Datos!$G$9,Datos!$I$8+(O414-Datos!$F$9)*Datos!$J$6,IF(O414&gt;=Datos!$F$10,(Datos!$I$8+Datos!$J$8)+(O414-Datos!$F$10)*Datos!$K$6))))-W414</f>
        <v>6930.4106666666667</v>
      </c>
      <c r="Q414" s="231">
        <f>IFERROR(VLOOKUP(C414,[1]Hoja1!$D$5:$E$58,2,FALSE),0)</f>
        <v>0</v>
      </c>
      <c r="R414" s="234"/>
      <c r="S414" s="234"/>
      <c r="T414" s="234"/>
      <c r="U414" s="234"/>
      <c r="V414" s="234">
        <v>25</v>
      </c>
      <c r="W414" s="231"/>
      <c r="X414" s="234">
        <f t="shared" si="53"/>
        <v>11565.210666666666</v>
      </c>
      <c r="Y414" s="234">
        <f t="shared" si="52"/>
        <v>66434.789333333334</v>
      </c>
      <c r="Z414" s="296" t="s">
        <v>327</v>
      </c>
      <c r="AA414" s="298">
        <v>40422</v>
      </c>
      <c r="AB414" s="235"/>
      <c r="AC414" s="264"/>
    </row>
    <row r="415" spans="1:29" s="236" customFormat="1" x14ac:dyDescent="0.25">
      <c r="A415" s="232"/>
      <c r="B415" s="302">
        <v>409</v>
      </c>
      <c r="C415" s="295" t="s">
        <v>565</v>
      </c>
      <c r="D415" s="232" t="s">
        <v>804</v>
      </c>
      <c r="E415" s="232" t="s">
        <v>85</v>
      </c>
      <c r="F415" s="232" t="s">
        <v>87</v>
      </c>
      <c r="G415" s="295">
        <v>1</v>
      </c>
      <c r="H415" s="296" t="s">
        <v>1548</v>
      </c>
      <c r="I415" s="297" t="s">
        <v>1062</v>
      </c>
      <c r="J415" s="232" t="s">
        <v>833</v>
      </c>
      <c r="K415" s="233">
        <f>13860+4140</f>
        <v>18000</v>
      </c>
      <c r="L415" s="284">
        <f>IF(K415&gt;=Datos!$D$14,(Datos!$D$14*Datos!$C$14),IF(K415&lt;=Datos!$D$14,(K415*Datos!$C$14)))</f>
        <v>516.6</v>
      </c>
      <c r="M415" s="284">
        <f>IF(K415&gt;=Datos!$D$15,(Datos!$D$15*Datos!$C$15),IF(K415&lt;=Datos!$D$15,(K415*Datos!$C$15)))</f>
        <v>547.20000000000005</v>
      </c>
      <c r="N415" s="231"/>
      <c r="O415" s="231">
        <f t="shared" si="54"/>
        <v>16936.2</v>
      </c>
      <c r="P415" s="223">
        <f>IF(O415&lt;=Datos!$G$7,"0",IF(O415&lt;=Datos!$G$8,(O415-Datos!$F$8)*Datos!$I$6,IF(O415&lt;=Datos!$G$9,Datos!$I$8+(O415-Datos!$F$9)*Datos!$J$6,IF(O415&gt;=Datos!$F$10,(Datos!$I$8+Datos!$J$8)+(O415-Datos!$F$10)*Datos!$K$6))))-W415</f>
        <v>0</v>
      </c>
      <c r="Q415" s="231">
        <f>IFERROR(VLOOKUP(C415,[1]Hoja1!$D$5:$E$58,2,FALSE),0)</f>
        <v>0</v>
      </c>
      <c r="R415" s="234"/>
      <c r="S415" s="234"/>
      <c r="T415" s="234"/>
      <c r="U415" s="234"/>
      <c r="V415" s="234">
        <v>25</v>
      </c>
      <c r="W415" s="231"/>
      <c r="X415" s="234">
        <f t="shared" si="53"/>
        <v>1088.8000000000002</v>
      </c>
      <c r="Y415" s="234">
        <f t="shared" si="52"/>
        <v>16911.2</v>
      </c>
      <c r="Z415" s="296" t="s">
        <v>325</v>
      </c>
      <c r="AA415" s="298">
        <v>44197</v>
      </c>
      <c r="AB415" s="235"/>
      <c r="AC415" s="264"/>
    </row>
    <row r="416" spans="1:29" s="236" customFormat="1" x14ac:dyDescent="0.25">
      <c r="A416" s="232"/>
      <c r="B416" s="302">
        <v>410</v>
      </c>
      <c r="C416" s="295" t="s">
        <v>1014</v>
      </c>
      <c r="D416" s="232" t="s">
        <v>1007</v>
      </c>
      <c r="E416" s="232" t="s">
        <v>85</v>
      </c>
      <c r="F416" s="232" t="s">
        <v>87</v>
      </c>
      <c r="G416" s="295">
        <v>4</v>
      </c>
      <c r="H416" s="296" t="s">
        <v>1211</v>
      </c>
      <c r="I416" s="297" t="s">
        <v>1060</v>
      </c>
      <c r="J416" s="232" t="s">
        <v>839</v>
      </c>
      <c r="K416" s="233">
        <v>60000</v>
      </c>
      <c r="L416" s="284">
        <f>IF(K416&gt;=Datos!$D$14,(Datos!$D$14*Datos!$C$14),IF(K416&lt;=Datos!$D$14,(K416*Datos!$C$14)))</f>
        <v>1722</v>
      </c>
      <c r="M416" s="284">
        <f>IF(K416&gt;=Datos!$D$15,(Datos!$D$15*Datos!$C$15),IF(K416&lt;=Datos!$D$15,(K416*Datos!$C$15)))</f>
        <v>1824</v>
      </c>
      <c r="N416" s="231"/>
      <c r="O416" s="231">
        <f t="shared" si="54"/>
        <v>56454</v>
      </c>
      <c r="P416" s="223">
        <f>IF(O416&lt;=Datos!$G$7,"0",IF(O416&lt;=Datos!$G$8,(O416-Datos!$F$8)*Datos!$I$6,IF(O416&lt;=Datos!$G$9,Datos!$I$8+(O416-Datos!$F$9)*Datos!$J$6,IF(O416&gt;=Datos!$F$10,(Datos!$I$8+Datos!$J$8)+(O416-Datos!$F$10)*Datos!$K$6))))-W416</f>
        <v>3486.6756666666661</v>
      </c>
      <c r="Q416" s="231">
        <f>IFERROR(VLOOKUP(C416,[1]Hoja1!$D$5:$E$58,2,FALSE),0)</f>
        <v>0</v>
      </c>
      <c r="R416" s="234"/>
      <c r="S416" s="234"/>
      <c r="T416" s="234"/>
      <c r="U416" s="234"/>
      <c r="V416" s="234">
        <v>25</v>
      </c>
      <c r="W416" s="231"/>
      <c r="X416" s="234">
        <f t="shared" si="53"/>
        <v>7057.6756666666661</v>
      </c>
      <c r="Y416" s="234">
        <f t="shared" si="52"/>
        <v>52942.324333333338</v>
      </c>
      <c r="Z416" s="296"/>
      <c r="AA416" s="298">
        <v>44743</v>
      </c>
      <c r="AB416" s="235"/>
      <c r="AC416" s="264"/>
    </row>
    <row r="417" spans="1:29" s="236" customFormat="1" x14ac:dyDescent="0.25">
      <c r="A417" s="232"/>
      <c r="B417" s="302">
        <v>411</v>
      </c>
      <c r="C417" s="295" t="s">
        <v>568</v>
      </c>
      <c r="D417" s="232" t="s">
        <v>807</v>
      </c>
      <c r="E417" s="232" t="s">
        <v>85</v>
      </c>
      <c r="F417" s="232" t="s">
        <v>87</v>
      </c>
      <c r="G417" s="295">
        <v>1</v>
      </c>
      <c r="H417" s="296" t="s">
        <v>1379</v>
      </c>
      <c r="I417" s="297" t="s">
        <v>1060</v>
      </c>
      <c r="J417" s="232" t="s">
        <v>922</v>
      </c>
      <c r="K417" s="233">
        <f>17325+2675+15000</f>
        <v>35000</v>
      </c>
      <c r="L417" s="284">
        <f>IF(K417&gt;=Datos!$D$14,(Datos!$D$14*Datos!$C$14),IF(K417&lt;=Datos!$D$14,(K417*Datos!$C$14)))</f>
        <v>1004.5</v>
      </c>
      <c r="M417" s="284">
        <f>IF(K417&gt;=Datos!$D$15,(Datos!$D$15*Datos!$C$15),IF(K417&lt;=Datos!$D$15,(K417*Datos!$C$15)))</f>
        <v>1064</v>
      </c>
      <c r="N417" s="231">
        <v>1715.46</v>
      </c>
      <c r="O417" s="231">
        <f t="shared" si="54"/>
        <v>31216.04</v>
      </c>
      <c r="P417" s="223">
        <f>IF(O417&lt;=Datos!$G$7,"0",IF(O417&lt;=Datos!$G$8,(O417-Datos!$F$8)*Datos!$I$6,IF(O417&lt;=Datos!$G$9,Datos!$I$8+(O417-Datos!$F$9)*Datos!$J$6,IF(O417&gt;=Datos!$F$10,(Datos!$I$8+Datos!$J$8)+(O417-Datos!$F$10)*Datos!$K$6))))-W417</f>
        <v>0</v>
      </c>
      <c r="Q417" s="231">
        <f>IFERROR(VLOOKUP(C417,[1]Hoja1!$D$5:$E$58,2,FALSE),0)</f>
        <v>0</v>
      </c>
      <c r="R417" s="234"/>
      <c r="S417" s="234"/>
      <c r="T417" s="234"/>
      <c r="U417" s="234"/>
      <c r="V417" s="234">
        <v>25</v>
      </c>
      <c r="W417" s="231"/>
      <c r="X417" s="234">
        <f t="shared" si="53"/>
        <v>3808.96</v>
      </c>
      <c r="Y417" s="234">
        <f t="shared" si="52"/>
        <v>31191.040000000001</v>
      </c>
      <c r="Z417" s="296" t="s">
        <v>328</v>
      </c>
      <c r="AA417" s="298">
        <v>44197</v>
      </c>
      <c r="AB417" s="235"/>
      <c r="AC417" s="264"/>
    </row>
    <row r="418" spans="1:29" s="236" customFormat="1" x14ac:dyDescent="0.25">
      <c r="A418" s="232"/>
      <c r="B418" s="302">
        <v>412</v>
      </c>
      <c r="C418" s="295" t="s">
        <v>570</v>
      </c>
      <c r="D418" s="232" t="s">
        <v>809</v>
      </c>
      <c r="E418" s="232" t="s">
        <v>85</v>
      </c>
      <c r="F418" s="232" t="s">
        <v>87</v>
      </c>
      <c r="G418" s="295">
        <v>5</v>
      </c>
      <c r="H418" s="296" t="s">
        <v>1662</v>
      </c>
      <c r="I418" s="297" t="s">
        <v>1060</v>
      </c>
      <c r="J418" s="232" t="s">
        <v>1565</v>
      </c>
      <c r="K418" s="233">
        <f>52552.5+27447.5</f>
        <v>80000</v>
      </c>
      <c r="L418" s="284">
        <f>IF(K418&gt;=Datos!$D$14,(Datos!$D$14*Datos!$C$14),IF(K418&lt;=Datos!$D$14,(K418*Datos!$C$14)))</f>
        <v>2296</v>
      </c>
      <c r="M418" s="284">
        <f>IF(K418&gt;=Datos!$D$15,(Datos!$D$15*Datos!$C$15),IF(K418&lt;=Datos!$D$15,(K418*Datos!$C$15)))</f>
        <v>2432</v>
      </c>
      <c r="N418" s="231"/>
      <c r="O418" s="231">
        <f t="shared" si="54"/>
        <v>75272</v>
      </c>
      <c r="P418" s="223">
        <f>IF(O418&lt;=Datos!$G$7,"0",IF(O418&lt;=Datos!$G$8,(O418-Datos!$F$8)*Datos!$I$6,IF(O418&lt;=Datos!$G$9,Datos!$I$8+(O418-Datos!$F$9)*Datos!$J$6,IF(O418&gt;=Datos!$F$10,(Datos!$I$8+Datos!$J$8)+(O418-Datos!$F$10)*Datos!$K$6))))-W418</f>
        <v>7400.8606666666674</v>
      </c>
      <c r="Q418" s="231">
        <f>IFERROR(VLOOKUP(C418,[1]Hoja1!$D$5:$E$58,2,FALSE),0)</f>
        <v>0</v>
      </c>
      <c r="R418" s="234"/>
      <c r="S418" s="234"/>
      <c r="T418" s="234"/>
      <c r="U418" s="234"/>
      <c r="V418" s="234">
        <v>25</v>
      </c>
      <c r="W418" s="231"/>
      <c r="X418" s="234">
        <f t="shared" si="53"/>
        <v>12153.860666666667</v>
      </c>
      <c r="Y418" s="234">
        <f t="shared" si="52"/>
        <v>67846.139333333325</v>
      </c>
      <c r="Z418" s="296" t="s">
        <v>330</v>
      </c>
      <c r="AA418" s="298">
        <v>44197</v>
      </c>
      <c r="AB418" s="235"/>
      <c r="AC418" s="264"/>
    </row>
    <row r="419" spans="1:29" s="236" customFormat="1" x14ac:dyDescent="0.25">
      <c r="A419" s="232"/>
      <c r="B419" s="302">
        <v>413</v>
      </c>
      <c r="C419" s="295" t="s">
        <v>571</v>
      </c>
      <c r="D419" s="232" t="s">
        <v>810</v>
      </c>
      <c r="E419" s="232" t="s">
        <v>85</v>
      </c>
      <c r="F419" s="232" t="s">
        <v>87</v>
      </c>
      <c r="G419" s="295">
        <v>1</v>
      </c>
      <c r="H419" s="296" t="s">
        <v>1157</v>
      </c>
      <c r="I419" s="296" t="s">
        <v>1187</v>
      </c>
      <c r="J419" s="232" t="s">
        <v>1229</v>
      </c>
      <c r="K419" s="233">
        <f>90000+20000+10000+25000</f>
        <v>145000</v>
      </c>
      <c r="L419" s="284">
        <f>IF(K419&gt;=Datos!$D$14,(Datos!$D$14*Datos!$C$14),IF(K419&lt;=Datos!$D$14,(K419*Datos!$C$14)))</f>
        <v>4161.5</v>
      </c>
      <c r="M419" s="284">
        <f>IF(K419&gt;=Datos!$D$15,(Datos!$D$15*Datos!$C$15),IF(K419&lt;=Datos!$D$15,(K419*Datos!$C$15)))</f>
        <v>4408</v>
      </c>
      <c r="N419" s="231">
        <v>1715.46</v>
      </c>
      <c r="O419" s="231">
        <f t="shared" si="54"/>
        <v>134715.04</v>
      </c>
      <c r="P419" s="223">
        <f>IF(O419&lt;=Datos!$G$7,"0",IF(O419&lt;=Datos!$G$8,(O419-Datos!$F$8)*Datos!$I$6,IF(O419&lt;=Datos!$G$9,Datos!$I$8+(O419-Datos!$F$9)*Datos!$J$6,IF(O419&gt;=Datos!$F$10,(Datos!$I$8+Datos!$J$8)+(O419-Datos!$F$10)*Datos!$K$6))))-W419</f>
        <v>22261.620666666669</v>
      </c>
      <c r="Q419" s="231">
        <f>IFERROR(VLOOKUP(C419,[1]Hoja1!$D$5:$E$58,2,FALSE),0)</f>
        <v>0</v>
      </c>
      <c r="R419" s="234"/>
      <c r="S419" s="234"/>
      <c r="T419" s="234"/>
      <c r="U419" s="234"/>
      <c r="V419" s="234">
        <v>25</v>
      </c>
      <c r="W419" s="231"/>
      <c r="X419" s="234">
        <f t="shared" si="53"/>
        <v>32571.580666666669</v>
      </c>
      <c r="Y419" s="234">
        <f t="shared" si="52"/>
        <v>112428.41933333332</v>
      </c>
      <c r="Z419" s="296" t="s">
        <v>331</v>
      </c>
      <c r="AA419" s="298">
        <v>39692</v>
      </c>
      <c r="AB419" s="235"/>
      <c r="AC419" s="264"/>
    </row>
    <row r="420" spans="1:29" s="236" customFormat="1" x14ac:dyDescent="0.25">
      <c r="A420" s="232"/>
      <c r="B420" s="302">
        <v>414</v>
      </c>
      <c r="C420" s="295" t="s">
        <v>573</v>
      </c>
      <c r="D420" s="232" t="s">
        <v>812</v>
      </c>
      <c r="E420" s="232" t="s">
        <v>85</v>
      </c>
      <c r="F420" s="232" t="s">
        <v>87</v>
      </c>
      <c r="G420" s="295">
        <v>5</v>
      </c>
      <c r="H420" s="296" t="s">
        <v>1210</v>
      </c>
      <c r="I420" s="309" t="s">
        <v>1062</v>
      </c>
      <c r="J420" s="232" t="s">
        <v>837</v>
      </c>
      <c r="K420" s="233">
        <f>45000+20000</f>
        <v>65000</v>
      </c>
      <c r="L420" s="284">
        <f>IF(K420&gt;=Datos!$D$14,(Datos!$D$14*Datos!$C$14),IF(K420&lt;=Datos!$D$14,(K420*Datos!$C$14)))</f>
        <v>1865.5</v>
      </c>
      <c r="M420" s="284">
        <f>IF(K420&gt;=Datos!$D$15,(Datos!$D$15*Datos!$C$15),IF(K420&lt;=Datos!$D$15,(K420*Datos!$C$15)))</f>
        <v>1976</v>
      </c>
      <c r="N420" s="231"/>
      <c r="O420" s="231">
        <f t="shared" si="54"/>
        <v>61158.5</v>
      </c>
      <c r="P420" s="223">
        <f>IF(O420&lt;=Datos!$G$7,"0",IF(O420&lt;=Datos!$G$8,(O420-Datos!$F$8)*Datos!$I$6,IF(O420&lt;=Datos!$G$9,Datos!$I$8+(O420-Datos!$F$9)*Datos!$J$6,IF(O420&gt;=Datos!$F$10,(Datos!$I$8+Datos!$J$8)+(O420-Datos!$F$10)*Datos!$K$6))))-W420</f>
        <v>4427.5756666666657</v>
      </c>
      <c r="Q420" s="231">
        <f>IFERROR(VLOOKUP(C420,[1]Hoja1!$D$5:$E$58,2,FALSE),0)</f>
        <v>0</v>
      </c>
      <c r="R420" s="234"/>
      <c r="S420" s="234"/>
      <c r="T420" s="234"/>
      <c r="U420" s="234"/>
      <c r="V420" s="234">
        <v>25</v>
      </c>
      <c r="W420" s="231"/>
      <c r="X420" s="234">
        <f t="shared" si="53"/>
        <v>8294.0756666666657</v>
      </c>
      <c r="Y420" s="234">
        <f t="shared" si="52"/>
        <v>56705.924333333336</v>
      </c>
      <c r="Z420" s="296" t="s">
        <v>333</v>
      </c>
      <c r="AA420" s="298">
        <v>44197</v>
      </c>
      <c r="AB420" s="235"/>
      <c r="AC420" s="264"/>
    </row>
    <row r="421" spans="1:29" s="236" customFormat="1" x14ac:dyDescent="0.25">
      <c r="A421" s="232"/>
      <c r="B421" s="302">
        <v>415</v>
      </c>
      <c r="C421" s="295" t="s">
        <v>572</v>
      </c>
      <c r="D421" s="232" t="s">
        <v>811</v>
      </c>
      <c r="E421" s="232" t="s">
        <v>85</v>
      </c>
      <c r="F421" s="232" t="s">
        <v>87</v>
      </c>
      <c r="G421" s="295">
        <v>1</v>
      </c>
      <c r="H421" s="296" t="s">
        <v>1379</v>
      </c>
      <c r="I421" s="309" t="s">
        <v>1060</v>
      </c>
      <c r="J421" s="232" t="s">
        <v>845</v>
      </c>
      <c r="K421" s="233">
        <f>20000+5000+1000</f>
        <v>26000</v>
      </c>
      <c r="L421" s="284">
        <f>IF(K421&gt;=Datos!$D$14,(Datos!$D$14*Datos!$C$14),IF(K421&lt;=Datos!$D$14,(K421*Datos!$C$14)))</f>
        <v>746.2</v>
      </c>
      <c r="M421" s="284">
        <f>IF(K421&gt;=Datos!$D$15,(Datos!$D$15*Datos!$C$15),IF(K421&lt;=Datos!$D$15,(K421*Datos!$C$15)))</f>
        <v>790.4</v>
      </c>
      <c r="N421" s="231"/>
      <c r="O421" s="231">
        <f t="shared" si="54"/>
        <v>24463.4</v>
      </c>
      <c r="P421" s="223">
        <f>IF(O421&lt;=Datos!$G$7,"0",IF(O421&lt;=Datos!$G$8,(O421-Datos!$F$8)*Datos!$I$6,IF(O421&lt;=Datos!$G$9,Datos!$I$8+(O421-Datos!$F$9)*Datos!$J$6,IF(O421&gt;=Datos!$F$10,(Datos!$I$8+Datos!$J$8)+(O421-Datos!$F$10)*Datos!$K$6))))-W421</f>
        <v>0</v>
      </c>
      <c r="Q421" s="231">
        <f>IFERROR(VLOOKUP(C421,[1]Hoja1!$D$5:$E$58,2,FALSE),0)</f>
        <v>0</v>
      </c>
      <c r="R421" s="234"/>
      <c r="S421" s="234"/>
      <c r="T421" s="234"/>
      <c r="U421" s="234"/>
      <c r="V421" s="234">
        <v>25</v>
      </c>
      <c r="W421" s="231"/>
      <c r="X421" s="234">
        <f t="shared" si="53"/>
        <v>1561.6</v>
      </c>
      <c r="Y421" s="234">
        <f t="shared" si="52"/>
        <v>24438.400000000001</v>
      </c>
      <c r="Z421" s="296" t="s">
        <v>332</v>
      </c>
      <c r="AA421" s="298">
        <v>44410</v>
      </c>
      <c r="AB421" s="235"/>
      <c r="AC421" s="264"/>
    </row>
    <row r="422" spans="1:29" s="236" customFormat="1" x14ac:dyDescent="0.25">
      <c r="A422" s="232"/>
      <c r="B422" s="302">
        <v>416</v>
      </c>
      <c r="C422" s="295" t="s">
        <v>1862</v>
      </c>
      <c r="D422" s="232" t="s">
        <v>1863</v>
      </c>
      <c r="E422" s="232" t="s">
        <v>85</v>
      </c>
      <c r="F422" s="232" t="s">
        <v>87</v>
      </c>
      <c r="G422" s="295">
        <v>1</v>
      </c>
      <c r="H422" s="296" t="s">
        <v>1379</v>
      </c>
      <c r="I422" s="309" t="s">
        <v>1710</v>
      </c>
      <c r="J422" s="232" t="s">
        <v>841</v>
      </c>
      <c r="K422" s="233">
        <v>33000</v>
      </c>
      <c r="L422" s="284">
        <f>IF(K422&gt;=Datos!$D$14,(Datos!$D$14*Datos!$C$14),IF(K422&lt;=Datos!$D$14,(K422*Datos!$C$14)))</f>
        <v>947.1</v>
      </c>
      <c r="M422" s="284">
        <f>IF(K422&gt;=Datos!$D$15,(Datos!$D$15*Datos!$C$15),IF(K422&lt;=Datos!$D$15,(K422*Datos!$C$15)))</f>
        <v>1003.2</v>
      </c>
      <c r="N422" s="231"/>
      <c r="O422" s="231">
        <f t="shared" ref="O422:O423" si="58">K422-(L422+M422+N422)</f>
        <v>31049.7</v>
      </c>
      <c r="P422" s="223">
        <f>IF(O422&lt;=Datos!$G$7,"0",IF(O422&lt;=Datos!$G$8,(O422-Datos!$F$8)*Datos!$I$6,IF(O422&lt;=Datos!$G$9,Datos!$I$8+(O422-Datos!$F$9)*Datos!$J$6,IF(O422&gt;=Datos!$F$10,(Datos!$I$8+Datos!$J$8)+(O422-Datos!$F$10)*Datos!$K$6))))-W422</f>
        <v>0</v>
      </c>
      <c r="Q422" s="231"/>
      <c r="R422" s="234"/>
      <c r="S422" s="234"/>
      <c r="T422" s="234"/>
      <c r="U422" s="234"/>
      <c r="V422" s="231">
        <v>25</v>
      </c>
      <c r="W422" s="231"/>
      <c r="X422" s="234">
        <f t="shared" ref="X422" si="59">SUM(P422:V422)+(L422+M422+N422)-W422</f>
        <v>1975.3000000000002</v>
      </c>
      <c r="Y422" s="234">
        <f t="shared" ref="Y422" si="60">+K422-X422</f>
        <v>31024.7</v>
      </c>
      <c r="Z422" s="296">
        <v>9607759024</v>
      </c>
      <c r="AA422" s="298">
        <v>45627</v>
      </c>
      <c r="AB422" s="235"/>
      <c r="AC422" s="264"/>
    </row>
    <row r="423" spans="1:29" s="236" customFormat="1" x14ac:dyDescent="0.25">
      <c r="A423" s="232"/>
      <c r="B423" s="302">
        <v>417</v>
      </c>
      <c r="C423" s="295" t="s">
        <v>574</v>
      </c>
      <c r="D423" s="232" t="s">
        <v>813</v>
      </c>
      <c r="E423" s="232" t="s">
        <v>85</v>
      </c>
      <c r="F423" s="232" t="s">
        <v>87</v>
      </c>
      <c r="G423" s="295">
        <v>5</v>
      </c>
      <c r="H423" s="296" t="s">
        <v>1210</v>
      </c>
      <c r="I423" s="309" t="s">
        <v>1060</v>
      </c>
      <c r="J423" s="232" t="s">
        <v>946</v>
      </c>
      <c r="K423" s="233">
        <f>19800+10200+5000</f>
        <v>35000</v>
      </c>
      <c r="L423" s="284">
        <f>IF(K423&gt;=Datos!$D$14,(Datos!$D$14*Datos!$C$14),IF(K423&lt;=Datos!$D$14,(K423*Datos!$C$14)))</f>
        <v>1004.5</v>
      </c>
      <c r="M423" s="284">
        <f>IF(K423&gt;=Datos!$D$15,(Datos!$D$15*Datos!$C$15),IF(K423&lt;=Datos!$D$15,(K423*Datos!$C$15)))</f>
        <v>1064</v>
      </c>
      <c r="N423" s="231"/>
      <c r="O423" s="231">
        <f t="shared" si="58"/>
        <v>32931.5</v>
      </c>
      <c r="P423" s="223">
        <f>IF(O423&lt;=Datos!$G$7,"0",IF(O423&lt;=Datos!$G$8,(O423-Datos!$F$8)*Datos!$I$6,IF(O423&lt;=Datos!$G$9,Datos!$I$8+(O423-Datos!$F$9)*Datos!$J$6,IF(O423&gt;=Datos!$F$10,(Datos!$I$8+Datos!$J$8)+(O423-Datos!$F$10)*Datos!$K$6))))-W423</f>
        <v>0</v>
      </c>
      <c r="Q423" s="231">
        <v>1000</v>
      </c>
      <c r="R423" s="234"/>
      <c r="S423" s="234"/>
      <c r="T423" s="234"/>
      <c r="U423" s="234"/>
      <c r="V423" s="234">
        <v>25</v>
      </c>
      <c r="W423" s="231"/>
      <c r="X423" s="234">
        <f t="shared" si="53"/>
        <v>3093.5</v>
      </c>
      <c r="Y423" s="234">
        <f t="shared" si="52"/>
        <v>31906.5</v>
      </c>
      <c r="Z423" s="296" t="s">
        <v>334</v>
      </c>
      <c r="AA423" s="298">
        <v>44197</v>
      </c>
      <c r="AB423" s="235"/>
      <c r="AC423" s="264"/>
    </row>
    <row r="424" spans="1:29" s="236" customFormat="1" x14ac:dyDescent="0.25">
      <c r="A424" s="232"/>
      <c r="B424" s="302">
        <v>418</v>
      </c>
      <c r="C424" s="295" t="s">
        <v>1016</v>
      </c>
      <c r="D424" s="232" t="s">
        <v>1009</v>
      </c>
      <c r="E424" s="232" t="s">
        <v>85</v>
      </c>
      <c r="F424" s="232" t="s">
        <v>87</v>
      </c>
      <c r="G424" s="295">
        <v>1</v>
      </c>
      <c r="H424" s="296" t="s">
        <v>1220</v>
      </c>
      <c r="I424" s="309" t="s">
        <v>1067</v>
      </c>
      <c r="J424" s="232" t="s">
        <v>845</v>
      </c>
      <c r="K424" s="233">
        <f>20000+6000</f>
        <v>26000</v>
      </c>
      <c r="L424" s="284">
        <f>IF(K424&gt;=Datos!$D$14,(Datos!$D$14*Datos!$C$14),IF(K424&lt;=Datos!$D$14,(K424*Datos!$C$14)))</f>
        <v>746.2</v>
      </c>
      <c r="M424" s="284">
        <f>IF(K424&gt;=Datos!$D$15,(Datos!$D$15*Datos!$C$15),IF(K424&lt;=Datos!$D$15,(K424*Datos!$C$15)))</f>
        <v>790.4</v>
      </c>
      <c r="N424" s="231"/>
      <c r="O424" s="231">
        <f t="shared" si="54"/>
        <v>24463.4</v>
      </c>
      <c r="P424" s="223">
        <f>IF(O424&lt;=Datos!$G$7,"0",IF(O424&lt;=Datos!$G$8,(O424-Datos!$F$8)*Datos!$I$6,IF(O424&lt;=Datos!$G$9,Datos!$I$8+(O424-Datos!$F$9)*Datos!$J$6,IF(O424&gt;=Datos!$F$10,(Datos!$I$8+Datos!$J$8)+(O424-Datos!$F$10)*Datos!$K$6))))-W424</f>
        <v>0</v>
      </c>
      <c r="Q424" s="231">
        <f>IFERROR(VLOOKUP(C424,[1]Hoja1!$D$5:$E$58,2,FALSE),0)</f>
        <v>0</v>
      </c>
      <c r="R424" s="234"/>
      <c r="S424" s="234"/>
      <c r="T424" s="234"/>
      <c r="U424" s="234"/>
      <c r="V424" s="234">
        <v>25</v>
      </c>
      <c r="W424" s="231"/>
      <c r="X424" s="234">
        <f t="shared" si="53"/>
        <v>1561.6</v>
      </c>
      <c r="Y424" s="234">
        <f t="shared" si="52"/>
        <v>24438.400000000001</v>
      </c>
      <c r="Z424" s="296"/>
      <c r="AA424" s="298">
        <v>44743</v>
      </c>
      <c r="AB424" s="235"/>
      <c r="AC424" s="264"/>
    </row>
    <row r="425" spans="1:29" s="236" customFormat="1" x14ac:dyDescent="0.25">
      <c r="A425" s="232"/>
      <c r="B425" s="302">
        <v>419</v>
      </c>
      <c r="C425" s="295" t="s">
        <v>1864</v>
      </c>
      <c r="D425" s="232" t="s">
        <v>1865</v>
      </c>
      <c r="E425" s="232" t="s">
        <v>85</v>
      </c>
      <c r="F425" s="232" t="s">
        <v>87</v>
      </c>
      <c r="G425" s="295">
        <v>1</v>
      </c>
      <c r="H425" s="296" t="s">
        <v>1379</v>
      </c>
      <c r="I425" s="309" t="s">
        <v>1060</v>
      </c>
      <c r="J425" s="232" t="s">
        <v>845</v>
      </c>
      <c r="K425" s="233">
        <v>26000</v>
      </c>
      <c r="L425" s="284">
        <f>IF(K425&gt;=Datos!$D$14,(Datos!$D$14*Datos!$C$14),IF(K425&lt;=Datos!$D$14,(K425*Datos!$C$14)))</f>
        <v>746.2</v>
      </c>
      <c r="M425" s="284">
        <f>IF(K425&gt;=Datos!$D$15,(Datos!$D$15*Datos!$C$15),IF(K425&lt;=Datos!$D$15,(K425*Datos!$C$15)))</f>
        <v>790.4</v>
      </c>
      <c r="N425" s="231"/>
      <c r="O425" s="231">
        <f t="shared" ref="O425" si="61">K425-(L425+M425+N425)</f>
        <v>24463.4</v>
      </c>
      <c r="P425" s="223">
        <f>IF(O425&lt;=Datos!$G$7,"0",IF(O425&lt;=Datos!$G$8,(O425-Datos!$F$8)*Datos!$I$6,IF(O425&lt;=Datos!$G$9,Datos!$I$8+(O425-Datos!$F$9)*Datos!$J$6,IF(O425&gt;=Datos!$F$10,(Datos!$I$8+Datos!$J$8)+(O425-Datos!$F$10)*Datos!$K$6))))-W425</f>
        <v>0</v>
      </c>
      <c r="Q425" s="231"/>
      <c r="R425" s="234"/>
      <c r="S425" s="234"/>
      <c r="T425" s="234"/>
      <c r="U425" s="234"/>
      <c r="V425" s="231">
        <v>25</v>
      </c>
      <c r="W425" s="231"/>
      <c r="X425" s="234">
        <f t="shared" ref="X425" si="62">SUM(P425:V425)+(L425+M425+N425)-W425</f>
        <v>1561.6</v>
      </c>
      <c r="Y425" s="234">
        <f t="shared" ref="Y425" si="63">+K425-X425</f>
        <v>24438.400000000001</v>
      </c>
      <c r="Z425" s="296">
        <v>9607759037</v>
      </c>
      <c r="AA425" s="298">
        <v>45627</v>
      </c>
      <c r="AB425" s="235"/>
      <c r="AC425" s="264"/>
    </row>
    <row r="426" spans="1:29" s="236" customFormat="1" x14ac:dyDescent="0.25">
      <c r="A426" s="232"/>
      <c r="B426" s="302">
        <v>420</v>
      </c>
      <c r="C426" s="295" t="s">
        <v>904</v>
      </c>
      <c r="D426" s="232" t="s">
        <v>902</v>
      </c>
      <c r="E426" s="232" t="s">
        <v>85</v>
      </c>
      <c r="F426" s="232" t="s">
        <v>87</v>
      </c>
      <c r="G426" s="295">
        <v>1</v>
      </c>
      <c r="H426" s="296" t="s">
        <v>1491</v>
      </c>
      <c r="I426" s="309" t="s">
        <v>1187</v>
      </c>
      <c r="J426" s="232" t="s">
        <v>903</v>
      </c>
      <c r="K426" s="233">
        <v>55000</v>
      </c>
      <c r="L426" s="284">
        <f>IF(K426&gt;=Datos!$D$14,(Datos!$D$14*Datos!$C$14),IF(K426&lt;=Datos!$D$14,(K426*Datos!$C$14)))</f>
        <v>1578.5</v>
      </c>
      <c r="M426" s="284">
        <f>IF(K426&gt;=Datos!$D$15,(Datos!$D$15*Datos!$C$15),IF(K426&lt;=Datos!$D$15,(K426*Datos!$C$15)))</f>
        <v>1672</v>
      </c>
      <c r="N426" s="231"/>
      <c r="O426" s="231">
        <f t="shared" si="54"/>
        <v>51749.5</v>
      </c>
      <c r="P426" s="223">
        <f>IF(O426&lt;=Datos!$G$7,"0",IF(O426&lt;=Datos!$G$8,(O426-Datos!$F$8)*Datos!$I$6,IF(O426&lt;=Datos!$G$9,Datos!$I$8+(O426-Datos!$F$9)*Datos!$J$6,IF(O426&gt;=Datos!$F$10,(Datos!$I$8+Datos!$J$8)+(O426-Datos!$F$10)*Datos!$K$6))))-W426</f>
        <v>2559.6734999999994</v>
      </c>
      <c r="Q426" s="231">
        <f>IFERROR(VLOOKUP(C426,[1]Hoja1!$D$5:$E$58,2,FALSE),0)</f>
        <v>0</v>
      </c>
      <c r="R426" s="234"/>
      <c r="S426" s="234"/>
      <c r="T426" s="234"/>
      <c r="U426" s="234"/>
      <c r="V426" s="234">
        <v>25</v>
      </c>
      <c r="W426" s="231"/>
      <c r="X426" s="234">
        <f t="shared" si="53"/>
        <v>5835.173499999999</v>
      </c>
      <c r="Y426" s="234">
        <f t="shared" si="52"/>
        <v>49164.826500000003</v>
      </c>
      <c r="Z426" s="296"/>
      <c r="AA426" s="298">
        <v>44621</v>
      </c>
      <c r="AB426" s="235"/>
      <c r="AC426" s="264"/>
    </row>
    <row r="427" spans="1:29" s="236" customFormat="1" x14ac:dyDescent="0.25">
      <c r="A427" s="232"/>
      <c r="B427" s="302">
        <v>421</v>
      </c>
      <c r="C427" s="295" t="s">
        <v>955</v>
      </c>
      <c r="D427" s="232" t="s">
        <v>956</v>
      </c>
      <c r="E427" s="232" t="s">
        <v>85</v>
      </c>
      <c r="F427" s="232" t="s">
        <v>87</v>
      </c>
      <c r="G427" s="295">
        <v>1</v>
      </c>
      <c r="H427" s="296" t="s">
        <v>1214</v>
      </c>
      <c r="I427" s="309" t="s">
        <v>1062</v>
      </c>
      <c r="J427" s="232" t="s">
        <v>957</v>
      </c>
      <c r="K427" s="233">
        <v>100000</v>
      </c>
      <c r="L427" s="284">
        <f>IF(K427&gt;=Datos!$D$14,(Datos!$D$14*Datos!$C$14),IF(K427&lt;=Datos!$D$14,(K427*Datos!$C$14)))</f>
        <v>2870</v>
      </c>
      <c r="M427" s="284">
        <f>IF(K427&gt;=Datos!$D$15,(Datos!$D$15*Datos!$C$15),IF(K427&lt;=Datos!$D$15,(K427*Datos!$C$15)))</f>
        <v>3040</v>
      </c>
      <c r="N427" s="231"/>
      <c r="O427" s="231">
        <f t="shared" si="54"/>
        <v>94090</v>
      </c>
      <c r="P427" s="223">
        <f>IF(O427&lt;=Datos!$G$7,"0",IF(O427&lt;=Datos!$G$8,(O427-Datos!$F$8)*Datos!$I$6,IF(O427&lt;=Datos!$G$9,Datos!$I$8+(O427-Datos!$F$9)*Datos!$J$6,IF(O427&gt;=Datos!$F$10,(Datos!$I$8+Datos!$J$8)+(O427-Datos!$F$10)*Datos!$K$6))))-W427</f>
        <v>12105.360666666667</v>
      </c>
      <c r="Q427" s="231">
        <f>IFERROR(VLOOKUP(C427,[1]Hoja1!$D$5:$E$58,2,FALSE),0)</f>
        <v>0</v>
      </c>
      <c r="R427" s="234"/>
      <c r="S427" s="234"/>
      <c r="T427" s="234"/>
      <c r="U427" s="234"/>
      <c r="V427" s="234">
        <v>25</v>
      </c>
      <c r="W427" s="231"/>
      <c r="X427" s="234">
        <f t="shared" si="53"/>
        <v>18040.360666666667</v>
      </c>
      <c r="Y427" s="234">
        <f t="shared" si="52"/>
        <v>81959.639333333325</v>
      </c>
      <c r="Z427" s="296"/>
      <c r="AA427" s="298">
        <v>44682</v>
      </c>
      <c r="AB427" s="235"/>
      <c r="AC427" s="264"/>
    </row>
    <row r="428" spans="1:29" s="236" customFormat="1" x14ac:dyDescent="0.25">
      <c r="A428" s="232"/>
      <c r="B428" s="302">
        <v>422</v>
      </c>
      <c r="C428" s="295" t="s">
        <v>575</v>
      </c>
      <c r="D428" s="232" t="s">
        <v>814</v>
      </c>
      <c r="E428" s="232" t="s">
        <v>85</v>
      </c>
      <c r="F428" s="232" t="s">
        <v>87</v>
      </c>
      <c r="G428" s="295">
        <v>4</v>
      </c>
      <c r="H428" s="296" t="s">
        <v>1209</v>
      </c>
      <c r="I428" s="309" t="s">
        <v>1060</v>
      </c>
      <c r="J428" s="232" t="s">
        <v>837</v>
      </c>
      <c r="K428" s="233">
        <v>71662.5</v>
      </c>
      <c r="L428" s="284">
        <f>IF(K428&gt;=Datos!$D$14,(Datos!$D$14*Datos!$C$14),IF(K428&lt;=Datos!$D$14,(K428*Datos!$C$14)))</f>
        <v>2056.7137499999999</v>
      </c>
      <c r="M428" s="284">
        <f>IF(K428&gt;=Datos!$D$15,(Datos!$D$15*Datos!$C$15),IF(K428&lt;=Datos!$D$15,(K428*Datos!$C$15)))</f>
        <v>2178.54</v>
      </c>
      <c r="N428" s="231"/>
      <c r="O428" s="231">
        <f t="shared" si="54"/>
        <v>67427.246249999997</v>
      </c>
      <c r="P428" s="223">
        <f>IF(O428&lt;=Datos!$G$7,"0",IF(O428&lt;=Datos!$G$8,(O428-Datos!$F$8)*Datos!$I$6,IF(O428&lt;=Datos!$G$9,Datos!$I$8+(O428-Datos!$F$9)*Datos!$J$6,IF(O428&gt;=Datos!$F$10,(Datos!$I$8+Datos!$J$8)+(O428-Datos!$F$10)*Datos!$K$6))))-W428</f>
        <v>5681.3249166666656</v>
      </c>
      <c r="Q428" s="231">
        <f>IFERROR(VLOOKUP(C428,[1]Hoja1!$D$5:$E$58,2,FALSE),0)</f>
        <v>0</v>
      </c>
      <c r="R428" s="234"/>
      <c r="S428" s="234"/>
      <c r="T428" s="234"/>
      <c r="U428" s="234"/>
      <c r="V428" s="234">
        <v>25</v>
      </c>
      <c r="W428" s="231"/>
      <c r="X428" s="234">
        <f t="shared" si="53"/>
        <v>9941.5786666666645</v>
      </c>
      <c r="Y428" s="234">
        <f t="shared" si="52"/>
        <v>61720.921333333332</v>
      </c>
      <c r="Z428" s="296" t="s">
        <v>335</v>
      </c>
      <c r="AA428" s="298">
        <v>44197</v>
      </c>
      <c r="AB428" s="235"/>
      <c r="AC428" s="264"/>
    </row>
    <row r="429" spans="1:29" s="236" customFormat="1" x14ac:dyDescent="0.25">
      <c r="A429" s="232"/>
      <c r="B429" s="302">
        <v>423</v>
      </c>
      <c r="C429" s="295" t="s">
        <v>576</v>
      </c>
      <c r="D429" s="232" t="s">
        <v>815</v>
      </c>
      <c r="E429" s="232" t="s">
        <v>85</v>
      </c>
      <c r="F429" s="232" t="s">
        <v>87</v>
      </c>
      <c r="G429" s="295">
        <v>1</v>
      </c>
      <c r="H429" s="296" t="s">
        <v>1831</v>
      </c>
      <c r="I429" s="309" t="s">
        <v>1060</v>
      </c>
      <c r="J429" s="232" t="s">
        <v>845</v>
      </c>
      <c r="K429" s="233">
        <v>33000</v>
      </c>
      <c r="L429" s="284">
        <f>IF(K429&gt;=Datos!$D$14,(Datos!$D$14*Datos!$C$14),IF(K429&lt;=Datos!$D$14,(K429*Datos!$C$14)))</f>
        <v>947.1</v>
      </c>
      <c r="M429" s="284">
        <f>IF(K429&gt;=Datos!$D$15,(Datos!$D$15*Datos!$C$15),IF(K429&lt;=Datos!$D$15,(K429*Datos!$C$15)))</f>
        <v>1003.2</v>
      </c>
      <c r="N429" s="231"/>
      <c r="O429" s="231">
        <f t="shared" si="54"/>
        <v>31049.7</v>
      </c>
      <c r="P429" s="223">
        <f>IF(O429&lt;=Datos!$G$7,"0",IF(O429&lt;=Datos!$G$8,(O429-Datos!$F$8)*Datos!$I$6,IF(O429&lt;=Datos!$G$9,Datos!$I$8+(O429-Datos!$F$9)*Datos!$J$6,IF(O429&gt;=Datos!$F$10,(Datos!$I$8+Datos!$J$8)+(O429-Datos!$F$10)*Datos!$K$6))))-W429</f>
        <v>0</v>
      </c>
      <c r="Q429" s="231">
        <f>IFERROR(VLOOKUP(C429,[1]Hoja1!$D$5:$E$58,2,FALSE),0)</f>
        <v>0</v>
      </c>
      <c r="R429" s="234"/>
      <c r="S429" s="234"/>
      <c r="T429" s="234"/>
      <c r="U429" s="234"/>
      <c r="V429" s="234">
        <v>25</v>
      </c>
      <c r="W429" s="231"/>
      <c r="X429" s="234">
        <f t="shared" si="53"/>
        <v>1975.3000000000002</v>
      </c>
      <c r="Y429" s="234">
        <f t="shared" si="52"/>
        <v>31024.7</v>
      </c>
      <c r="Z429" s="296" t="s">
        <v>336</v>
      </c>
      <c r="AA429" s="298">
        <v>44197</v>
      </c>
      <c r="AB429" s="235"/>
      <c r="AC429" s="264"/>
    </row>
    <row r="430" spans="1:29" s="236" customFormat="1" x14ac:dyDescent="0.25">
      <c r="A430" s="232"/>
      <c r="B430" s="302">
        <v>424</v>
      </c>
      <c r="C430" s="295" t="s">
        <v>577</v>
      </c>
      <c r="D430" s="232" t="s">
        <v>816</v>
      </c>
      <c r="E430" s="232" t="s">
        <v>85</v>
      </c>
      <c r="F430" s="232" t="s">
        <v>87</v>
      </c>
      <c r="G430" s="295">
        <v>4</v>
      </c>
      <c r="H430" s="296" t="s">
        <v>1211</v>
      </c>
      <c r="I430" s="309" t="s">
        <v>1061</v>
      </c>
      <c r="J430" s="232" t="s">
        <v>865</v>
      </c>
      <c r="K430" s="233">
        <v>71662.5</v>
      </c>
      <c r="L430" s="284">
        <f>IF(K430&gt;=Datos!$D$14,(Datos!$D$14*Datos!$C$14),IF(K430&lt;=Datos!$D$14,(K430*Datos!$C$14)))</f>
        <v>2056.7137499999999</v>
      </c>
      <c r="M430" s="284">
        <f>IF(K430&gt;=Datos!$D$15,(Datos!$D$15*Datos!$C$15),IF(K430&lt;=Datos!$D$15,(K430*Datos!$C$15)))</f>
        <v>2178.54</v>
      </c>
      <c r="N430" s="231"/>
      <c r="O430" s="231">
        <f t="shared" si="54"/>
        <v>67427.246249999997</v>
      </c>
      <c r="P430" s="223">
        <f>IF(O430&lt;=Datos!$G$7,"0",IF(O430&lt;=Datos!$G$8,(O430-Datos!$F$8)*Datos!$I$6,IF(O430&lt;=Datos!$G$9,Datos!$I$8+(O430-Datos!$F$9)*Datos!$J$6,IF(O430&gt;=Datos!$F$10,(Datos!$I$8+Datos!$J$8)+(O430-Datos!$F$10)*Datos!$K$6))))-W430</f>
        <v>5681.3249166666656</v>
      </c>
      <c r="Q430" s="231">
        <f>IFERROR(VLOOKUP(C430,[1]Hoja1!$D$5:$E$58,2,FALSE),0)</f>
        <v>0</v>
      </c>
      <c r="R430" s="234"/>
      <c r="S430" s="234"/>
      <c r="T430" s="234"/>
      <c r="U430" s="234"/>
      <c r="V430" s="234">
        <v>25</v>
      </c>
      <c r="W430" s="231"/>
      <c r="X430" s="234">
        <f t="shared" ref="X430:X448" si="64">SUM(P430:V430)+(L430+M430+N430)-W430</f>
        <v>9941.5786666666645</v>
      </c>
      <c r="Y430" s="234">
        <f t="shared" ref="Y430:Y448" si="65">+K430-X430</f>
        <v>61720.921333333332</v>
      </c>
      <c r="Z430" s="296" t="s">
        <v>337</v>
      </c>
      <c r="AA430" s="298">
        <v>40725</v>
      </c>
      <c r="AB430" s="235"/>
      <c r="AC430" s="264"/>
    </row>
    <row r="431" spans="1:29" s="236" customFormat="1" x14ac:dyDescent="0.25">
      <c r="A431" s="232"/>
      <c r="B431" s="302">
        <v>425</v>
      </c>
      <c r="C431" s="295" t="s">
        <v>578</v>
      </c>
      <c r="D431" s="232" t="s">
        <v>817</v>
      </c>
      <c r="E431" s="232" t="s">
        <v>85</v>
      </c>
      <c r="F431" s="232" t="s">
        <v>87</v>
      </c>
      <c r="G431" s="295">
        <v>5</v>
      </c>
      <c r="H431" s="296" t="s">
        <v>1210</v>
      </c>
      <c r="I431" s="309" t="s">
        <v>1062</v>
      </c>
      <c r="J431" s="232" t="s">
        <v>837</v>
      </c>
      <c r="K431" s="233">
        <f>45000+20000</f>
        <v>65000</v>
      </c>
      <c r="L431" s="284">
        <f>IF(K431&gt;=Datos!$D$14,(Datos!$D$14*Datos!$C$14),IF(K431&lt;=Datos!$D$14,(K431*Datos!$C$14)))</f>
        <v>1865.5</v>
      </c>
      <c r="M431" s="284">
        <f>IF(K431&gt;=Datos!$D$15,(Datos!$D$15*Datos!$C$15),IF(K431&lt;=Datos!$D$15,(K431*Datos!$C$15)))</f>
        <v>1976</v>
      </c>
      <c r="N431" s="231"/>
      <c r="O431" s="231">
        <f t="shared" si="54"/>
        <v>61158.5</v>
      </c>
      <c r="P431" s="223">
        <f>IF(O431&lt;=Datos!$G$7,"0",IF(O431&lt;=Datos!$G$8,(O431-Datos!$F$8)*Datos!$I$6,IF(O431&lt;=Datos!$G$9,Datos!$I$8+(O431-Datos!$F$9)*Datos!$J$6,IF(O431&gt;=Datos!$F$10,(Datos!$I$8+Datos!$J$8)+(O431-Datos!$F$10)*Datos!$K$6))))-W431</f>
        <v>4427.5756666666657</v>
      </c>
      <c r="Q431" s="231">
        <f>IFERROR(VLOOKUP(C431,[1]Hoja1!$D$5:$E$58,2,FALSE),0)</f>
        <v>0</v>
      </c>
      <c r="R431" s="234"/>
      <c r="S431" s="234"/>
      <c r="T431" s="234"/>
      <c r="U431" s="234"/>
      <c r="V431" s="234">
        <v>25</v>
      </c>
      <c r="W431" s="231"/>
      <c r="X431" s="234">
        <f t="shared" si="64"/>
        <v>8294.0756666666657</v>
      </c>
      <c r="Y431" s="234">
        <f t="shared" si="65"/>
        <v>56705.924333333336</v>
      </c>
      <c r="Z431" s="296" t="s">
        <v>338</v>
      </c>
      <c r="AA431" s="298">
        <v>44197</v>
      </c>
      <c r="AB431" s="235"/>
      <c r="AC431" s="264"/>
    </row>
    <row r="432" spans="1:29" s="236" customFormat="1" x14ac:dyDescent="0.25">
      <c r="A432" s="232"/>
      <c r="B432" s="302">
        <v>426</v>
      </c>
      <c r="C432" s="295" t="s">
        <v>579</v>
      </c>
      <c r="D432" s="232" t="s">
        <v>818</v>
      </c>
      <c r="E432" s="232" t="s">
        <v>85</v>
      </c>
      <c r="F432" s="232" t="s">
        <v>87</v>
      </c>
      <c r="G432" s="295">
        <v>5</v>
      </c>
      <c r="H432" s="296" t="s">
        <v>1210</v>
      </c>
      <c r="I432" s="309" t="s">
        <v>1060</v>
      </c>
      <c r="J432" s="232" t="s">
        <v>836</v>
      </c>
      <c r="K432" s="233">
        <v>80000</v>
      </c>
      <c r="L432" s="284">
        <f>IF(K432&gt;=Datos!$D$14,(Datos!$D$14*Datos!$C$14),IF(K432&lt;=Datos!$D$14,(K432*Datos!$C$14)))</f>
        <v>2296</v>
      </c>
      <c r="M432" s="284">
        <f>IF(K432&gt;=Datos!$D$15,(Datos!$D$15*Datos!$C$15),IF(K432&lt;=Datos!$D$15,(K432*Datos!$C$15)))</f>
        <v>2432</v>
      </c>
      <c r="N432" s="231"/>
      <c r="O432" s="231">
        <f t="shared" si="54"/>
        <v>75272</v>
      </c>
      <c r="P432" s="223">
        <f>IF(O432&lt;=Datos!$G$7,"0",IF(O432&lt;=Datos!$G$8,(O432-Datos!$F$8)*Datos!$I$6,IF(O432&lt;=Datos!$G$9,Datos!$I$8+(O432-Datos!$F$9)*Datos!$J$6,IF(O432&gt;=Datos!$F$10,(Datos!$I$8+Datos!$J$8)+(O432-Datos!$F$10)*Datos!$K$6))))-W432</f>
        <v>7400.8606666666674</v>
      </c>
      <c r="Q432" s="231">
        <f>IFERROR(VLOOKUP(C432,[1]Hoja1!$D$5:$E$58,2,FALSE),0)</f>
        <v>0</v>
      </c>
      <c r="R432" s="234"/>
      <c r="S432" s="234"/>
      <c r="T432" s="234"/>
      <c r="U432" s="234"/>
      <c r="V432" s="234">
        <v>25</v>
      </c>
      <c r="W432" s="231"/>
      <c r="X432" s="234">
        <f t="shared" si="64"/>
        <v>12153.860666666667</v>
      </c>
      <c r="Y432" s="234">
        <f t="shared" si="65"/>
        <v>67846.139333333325</v>
      </c>
      <c r="Z432" s="296" t="s">
        <v>339</v>
      </c>
      <c r="AA432" s="298">
        <v>44197</v>
      </c>
      <c r="AB432" s="235"/>
      <c r="AC432" s="264"/>
    </row>
    <row r="433" spans="1:29" s="236" customFormat="1" x14ac:dyDescent="0.25">
      <c r="A433" s="232"/>
      <c r="B433" s="302">
        <v>427</v>
      </c>
      <c r="C433" s="295" t="s">
        <v>580</v>
      </c>
      <c r="D433" s="232" t="s">
        <v>819</v>
      </c>
      <c r="E433" s="232" t="s">
        <v>85</v>
      </c>
      <c r="F433" s="232" t="s">
        <v>87</v>
      </c>
      <c r="G433" s="295">
        <v>1</v>
      </c>
      <c r="H433" s="296" t="s">
        <v>1834</v>
      </c>
      <c r="I433" s="309" t="s">
        <v>1061</v>
      </c>
      <c r="J433" s="232" t="s">
        <v>854</v>
      </c>
      <c r="K433" s="233">
        <f>19800+6200</f>
        <v>26000</v>
      </c>
      <c r="L433" s="284">
        <f>IF(K433&gt;=Datos!$D$14,(Datos!$D$14*Datos!$C$14),IF(K433&lt;=Datos!$D$14,(K433*Datos!$C$14)))</f>
        <v>746.2</v>
      </c>
      <c r="M433" s="284">
        <f>IF(K433&gt;=Datos!$D$15,(Datos!$D$15*Datos!$C$15),IF(K433&lt;=Datos!$D$15,(K433*Datos!$C$15)))</f>
        <v>790.4</v>
      </c>
      <c r="N433" s="231"/>
      <c r="O433" s="231">
        <f t="shared" si="54"/>
        <v>24463.4</v>
      </c>
      <c r="P433" s="223">
        <f>IF(O433&lt;=Datos!$G$7,"0",IF(O433&lt;=Datos!$G$8,(O433-Datos!$F$8)*Datos!$I$6,IF(O433&lt;=Datos!$G$9,Datos!$I$8+(O433-Datos!$F$9)*Datos!$J$6,IF(O433&gt;=Datos!$F$10,(Datos!$I$8+Datos!$J$8)+(O433-Datos!$F$10)*Datos!$K$6))))-W433</f>
        <v>0</v>
      </c>
      <c r="Q433" s="231">
        <v>3000</v>
      </c>
      <c r="R433" s="234"/>
      <c r="S433" s="234"/>
      <c r="T433" s="234"/>
      <c r="U433" s="234"/>
      <c r="V433" s="234">
        <v>25</v>
      </c>
      <c r="W433" s="231"/>
      <c r="X433" s="234">
        <f t="shared" si="64"/>
        <v>4561.6000000000004</v>
      </c>
      <c r="Y433" s="234">
        <f t="shared" si="65"/>
        <v>21438.400000000001</v>
      </c>
      <c r="Z433" s="296" t="s">
        <v>340</v>
      </c>
      <c r="AA433" s="298">
        <v>44197</v>
      </c>
      <c r="AB433" s="235"/>
      <c r="AC433" s="264"/>
    </row>
    <row r="434" spans="1:29" s="236" customFormat="1" x14ac:dyDescent="0.25">
      <c r="A434" s="232"/>
      <c r="B434" s="302">
        <v>428</v>
      </c>
      <c r="C434" s="295" t="s">
        <v>1088</v>
      </c>
      <c r="D434" s="232" t="s">
        <v>1089</v>
      </c>
      <c r="E434" s="232" t="s">
        <v>85</v>
      </c>
      <c r="F434" s="232" t="s">
        <v>87</v>
      </c>
      <c r="G434" s="295">
        <v>5</v>
      </c>
      <c r="H434" s="296" t="s">
        <v>1210</v>
      </c>
      <c r="I434" s="297" t="s">
        <v>1067</v>
      </c>
      <c r="J434" s="232" t="s">
        <v>1090</v>
      </c>
      <c r="K434" s="233">
        <v>60000</v>
      </c>
      <c r="L434" s="284">
        <f>IF(K434&gt;=Datos!$D$14,(Datos!$D$14*Datos!$C$14),IF(K434&lt;=Datos!$D$14,(K434*Datos!$C$14)))</f>
        <v>1722</v>
      </c>
      <c r="M434" s="284">
        <f>IF(K434&gt;=Datos!$D$15,(Datos!$D$15*Datos!$C$15),IF(K434&lt;=Datos!$D$15,(K434*Datos!$C$15)))</f>
        <v>1824</v>
      </c>
      <c r="N434" s="231"/>
      <c r="O434" s="231">
        <f t="shared" si="54"/>
        <v>56454</v>
      </c>
      <c r="P434" s="223">
        <f>IF(O434&lt;=Datos!$G$7,"0",IF(O434&lt;=Datos!$G$8,(O434-Datos!$F$8)*Datos!$I$6,IF(O434&lt;=Datos!$G$9,Datos!$I$8+(O434-Datos!$F$9)*Datos!$J$6,IF(O434&gt;=Datos!$F$10,(Datos!$I$8+Datos!$J$8)+(O434-Datos!$F$10)*Datos!$K$6))))-W434</f>
        <v>3486.6756666666661</v>
      </c>
      <c r="Q434" s="231">
        <f>IFERROR(VLOOKUP(C434,[1]Hoja1!$D$5:$E$58,2,FALSE),0)</f>
        <v>0</v>
      </c>
      <c r="R434" s="234"/>
      <c r="S434" s="234"/>
      <c r="T434" s="234"/>
      <c r="U434" s="234"/>
      <c r="V434" s="234">
        <v>25</v>
      </c>
      <c r="W434" s="231"/>
      <c r="X434" s="234">
        <f t="shared" si="64"/>
        <v>7057.6756666666661</v>
      </c>
      <c r="Y434" s="234">
        <f t="shared" si="65"/>
        <v>52942.324333333338</v>
      </c>
      <c r="Z434" s="296"/>
      <c r="AA434" s="298">
        <v>44835</v>
      </c>
      <c r="AB434" s="235"/>
      <c r="AC434" s="264"/>
    </row>
    <row r="435" spans="1:29" s="236" customFormat="1" x14ac:dyDescent="0.25">
      <c r="A435" s="232"/>
      <c r="B435" s="302">
        <v>429</v>
      </c>
      <c r="C435" s="295" t="s">
        <v>1021</v>
      </c>
      <c r="D435" s="232" t="s">
        <v>1020</v>
      </c>
      <c r="E435" s="232" t="s">
        <v>85</v>
      </c>
      <c r="F435" s="232" t="s">
        <v>87</v>
      </c>
      <c r="G435" s="295">
        <v>1</v>
      </c>
      <c r="H435" s="296" t="s">
        <v>1379</v>
      </c>
      <c r="I435" s="309" t="s">
        <v>1061</v>
      </c>
      <c r="J435" s="232" t="s">
        <v>1022</v>
      </c>
      <c r="K435" s="233">
        <f>20000+15000</f>
        <v>35000</v>
      </c>
      <c r="L435" s="284">
        <f>IF(K435&gt;=Datos!$D$14,(Datos!$D$14*Datos!$C$14),IF(K435&lt;=Datos!$D$14,(K435*Datos!$C$14)))</f>
        <v>1004.5</v>
      </c>
      <c r="M435" s="284">
        <f>IF(K435&gt;=Datos!$D$15,(Datos!$D$15*Datos!$C$15),IF(K435&lt;=Datos!$D$15,(K435*Datos!$C$15)))</f>
        <v>1064</v>
      </c>
      <c r="N435" s="231"/>
      <c r="O435" s="231">
        <f t="shared" si="54"/>
        <v>32931.5</v>
      </c>
      <c r="P435" s="223">
        <f>IF(O435&lt;=Datos!$G$7,"0",IF(O435&lt;=Datos!$G$8,(O435-Datos!$F$8)*Datos!$I$6,IF(O435&lt;=Datos!$G$9,Datos!$I$8+(O435-Datos!$F$9)*Datos!$J$6,IF(O435&gt;=Datos!$F$10,(Datos!$I$8+Datos!$J$8)+(O435-Datos!$F$10)*Datos!$K$6))))-W435</f>
        <v>0</v>
      </c>
      <c r="Q435" s="231">
        <f>IFERROR(VLOOKUP(C435,[1]Hoja1!$D$5:$E$58,2,FALSE),0)</f>
        <v>0</v>
      </c>
      <c r="R435" s="234"/>
      <c r="S435" s="234"/>
      <c r="T435" s="234"/>
      <c r="U435" s="234"/>
      <c r="V435" s="234">
        <v>25</v>
      </c>
      <c r="W435" s="231"/>
      <c r="X435" s="234">
        <f t="shared" si="64"/>
        <v>2093.5</v>
      </c>
      <c r="Y435" s="234">
        <f t="shared" si="65"/>
        <v>32906.5</v>
      </c>
      <c r="Z435" s="296"/>
      <c r="AA435" s="298">
        <v>44743</v>
      </c>
      <c r="AB435" s="235"/>
      <c r="AC435" s="264"/>
    </row>
    <row r="436" spans="1:29" s="236" customFormat="1" x14ac:dyDescent="0.25">
      <c r="A436" s="232"/>
      <c r="B436" s="302">
        <v>430</v>
      </c>
      <c r="C436" s="295" t="s">
        <v>1737</v>
      </c>
      <c r="D436" s="232" t="s">
        <v>1738</v>
      </c>
      <c r="E436" s="232" t="s">
        <v>85</v>
      </c>
      <c r="F436" s="232" t="s">
        <v>87</v>
      </c>
      <c r="G436" s="295">
        <v>1</v>
      </c>
      <c r="H436" s="296" t="s">
        <v>1548</v>
      </c>
      <c r="I436" s="309" t="s">
        <v>1067</v>
      </c>
      <c r="J436" s="232" t="s">
        <v>833</v>
      </c>
      <c r="K436" s="233">
        <v>17500</v>
      </c>
      <c r="L436" s="284">
        <f>IF(K436&gt;=Datos!$D$14,(Datos!$D$14*Datos!$C$14),IF(K436&lt;=Datos!$D$14,(K436*Datos!$C$14)))</f>
        <v>502.25</v>
      </c>
      <c r="M436" s="284">
        <f>IF(K436&gt;=Datos!$D$15,(Datos!$D$15*Datos!$C$15),IF(K436&lt;=Datos!$D$15,(K436*Datos!$C$15)))</f>
        <v>532</v>
      </c>
      <c r="N436" s="231"/>
      <c r="O436" s="231">
        <f t="shared" si="54"/>
        <v>16465.75</v>
      </c>
      <c r="P436" s="223">
        <f>IF(O436&lt;=Datos!$G$7,"0",IF(O436&lt;=Datos!$G$8,(O436-Datos!$F$8)*Datos!$I$6,IF(O436&lt;=Datos!$G$9,Datos!$I$8+(O436-Datos!$F$9)*Datos!$J$6,IF(O436&gt;=Datos!$F$10,(Datos!$I$8+Datos!$J$8)+(O436-Datos!$F$10)*Datos!$K$6))))-W436</f>
        <v>0</v>
      </c>
      <c r="Q436" s="231">
        <f>IFERROR(VLOOKUP(C436,[1]Hoja1!$D$5:$E$58,2,FALSE),0)</f>
        <v>0</v>
      </c>
      <c r="R436" s="234"/>
      <c r="S436" s="234"/>
      <c r="T436" s="234"/>
      <c r="U436" s="234"/>
      <c r="V436" s="234">
        <v>25</v>
      </c>
      <c r="W436" s="231"/>
      <c r="X436" s="234">
        <f t="shared" si="64"/>
        <v>1059.25</v>
      </c>
      <c r="Y436" s="234">
        <f t="shared" si="65"/>
        <v>16440.75</v>
      </c>
      <c r="Z436" s="296">
        <v>9607572577</v>
      </c>
      <c r="AA436" s="298">
        <v>45566</v>
      </c>
      <c r="AB436" s="235"/>
      <c r="AC436" s="264"/>
    </row>
    <row r="437" spans="1:29" s="236" customFormat="1" x14ac:dyDescent="0.25">
      <c r="A437" s="232"/>
      <c r="B437" s="302">
        <v>431</v>
      </c>
      <c r="C437" s="295" t="s">
        <v>581</v>
      </c>
      <c r="D437" s="232" t="s">
        <v>820</v>
      </c>
      <c r="E437" s="232" t="s">
        <v>85</v>
      </c>
      <c r="F437" s="232" t="s">
        <v>87</v>
      </c>
      <c r="G437" s="295">
        <v>1</v>
      </c>
      <c r="H437" s="296" t="s">
        <v>1214</v>
      </c>
      <c r="I437" s="309" t="s">
        <v>1062</v>
      </c>
      <c r="J437" s="232" t="s">
        <v>851</v>
      </c>
      <c r="K437" s="233">
        <f>26250+8750</f>
        <v>35000</v>
      </c>
      <c r="L437" s="284">
        <f>IF(K437&gt;=Datos!$D$14,(Datos!$D$14*Datos!$C$14),IF(K437&lt;=Datos!$D$14,(K437*Datos!$C$14)))</f>
        <v>1004.5</v>
      </c>
      <c r="M437" s="284">
        <f>IF(K437&gt;=Datos!$D$15,(Datos!$D$15*Datos!$C$15),IF(K437&lt;=Datos!$D$15,(K437*Datos!$C$15)))</f>
        <v>1064</v>
      </c>
      <c r="N437" s="231"/>
      <c r="O437" s="231">
        <f t="shared" si="54"/>
        <v>32931.5</v>
      </c>
      <c r="P437" s="223">
        <f>IF(O437&lt;=Datos!$G$7,"0",IF(O437&lt;=Datos!$G$8,(O437-Datos!$F$8)*Datos!$I$6,IF(O437&lt;=Datos!$G$9,Datos!$I$8+(O437-Datos!$F$9)*Datos!$J$6,IF(O437&gt;=Datos!$F$10,(Datos!$I$8+Datos!$J$8)+(O437-Datos!$F$10)*Datos!$K$6))))-W437</f>
        <v>0</v>
      </c>
      <c r="Q437" s="231">
        <f>IFERROR(VLOOKUP(C437,[1]Hoja1!$D$5:$E$58,2,FALSE),0)</f>
        <v>0</v>
      </c>
      <c r="R437" s="234"/>
      <c r="S437" s="234"/>
      <c r="T437" s="234"/>
      <c r="U437" s="234"/>
      <c r="V437" s="234">
        <v>25</v>
      </c>
      <c r="W437" s="231"/>
      <c r="X437" s="234">
        <f t="shared" si="64"/>
        <v>2093.5</v>
      </c>
      <c r="Y437" s="234">
        <f t="shared" si="65"/>
        <v>32906.5</v>
      </c>
      <c r="Z437" s="296" t="s">
        <v>341</v>
      </c>
      <c r="AA437" s="298">
        <v>44517</v>
      </c>
      <c r="AB437" s="235"/>
      <c r="AC437" s="264"/>
    </row>
    <row r="438" spans="1:29" s="236" customFormat="1" x14ac:dyDescent="0.25">
      <c r="A438" s="232"/>
      <c r="B438" s="302">
        <v>432</v>
      </c>
      <c r="C438" s="295" t="s">
        <v>1848</v>
      </c>
      <c r="D438" s="232" t="s">
        <v>1849</v>
      </c>
      <c r="E438" s="232" t="s">
        <v>85</v>
      </c>
      <c r="F438" s="232" t="s">
        <v>87</v>
      </c>
      <c r="G438" s="295">
        <v>1</v>
      </c>
      <c r="H438" s="296" t="s">
        <v>1548</v>
      </c>
      <c r="I438" s="309" t="s">
        <v>1710</v>
      </c>
      <c r="J438" s="232" t="s">
        <v>833</v>
      </c>
      <c r="K438" s="233">
        <v>17500</v>
      </c>
      <c r="L438" s="284">
        <f>IF(K438&gt;=Datos!$D$14,(Datos!$D$14*Datos!$C$14),IF(K438&lt;=Datos!$D$14,(K438*Datos!$C$14)))</f>
        <v>502.25</v>
      </c>
      <c r="M438" s="284">
        <f>IF(K438&gt;=Datos!$D$15,(Datos!$D$15*Datos!$C$15),IF(K438&lt;=Datos!$D$15,(K438*Datos!$C$15)))</f>
        <v>532</v>
      </c>
      <c r="N438" s="231"/>
      <c r="O438" s="231">
        <f t="shared" ref="O438" si="66">K438-(L438+M438+N438)</f>
        <v>16465.75</v>
      </c>
      <c r="P438" s="223">
        <f>IF(O438&lt;=Datos!$G$7,"0",IF(O438&lt;=Datos!$G$8,(O438-Datos!$F$8)*Datos!$I$6,IF(O438&lt;=Datos!$G$9,Datos!$I$8+(O438-Datos!$F$9)*Datos!$J$6,IF(O438&gt;=Datos!$F$10,(Datos!$I$8+Datos!$J$8)+(O438-Datos!$F$10)*Datos!$K$6))))-W438</f>
        <v>0</v>
      </c>
      <c r="Q438" s="231">
        <f>IFERROR(VLOOKUP(C438,[1]Hoja1!$D$5:$E$58,2,FALSE),0)</f>
        <v>0</v>
      </c>
      <c r="R438" s="234"/>
      <c r="S438" s="234"/>
      <c r="T438" s="234"/>
      <c r="U438" s="234"/>
      <c r="V438" s="231">
        <v>25</v>
      </c>
      <c r="W438" s="231"/>
      <c r="X438" s="234">
        <f t="shared" ref="X438" si="67">SUM(P438:V438)+(L438+M438+N438)-W438</f>
        <v>1059.25</v>
      </c>
      <c r="Y438" s="234">
        <f t="shared" ref="Y438" si="68">+K438-X438</f>
        <v>16440.75</v>
      </c>
      <c r="Z438" s="296">
        <v>9607759048</v>
      </c>
      <c r="AA438" s="298">
        <v>45627</v>
      </c>
      <c r="AB438" s="235"/>
      <c r="AC438" s="264"/>
    </row>
    <row r="439" spans="1:29" s="236" customFormat="1" x14ac:dyDescent="0.25">
      <c r="A439" s="232"/>
      <c r="B439" s="302">
        <v>433</v>
      </c>
      <c r="C439" s="295" t="s">
        <v>1846</v>
      </c>
      <c r="D439" s="232" t="s">
        <v>1847</v>
      </c>
      <c r="E439" s="232" t="s">
        <v>85</v>
      </c>
      <c r="F439" s="232" t="s">
        <v>87</v>
      </c>
      <c r="G439" s="295">
        <v>1</v>
      </c>
      <c r="H439" s="296" t="s">
        <v>1548</v>
      </c>
      <c r="I439" s="309" t="s">
        <v>1710</v>
      </c>
      <c r="J439" s="232" t="s">
        <v>833</v>
      </c>
      <c r="K439" s="233">
        <v>17500</v>
      </c>
      <c r="L439" s="284">
        <f>IF(K439&gt;=Datos!$D$14,(Datos!$D$14*Datos!$C$14),IF(K439&lt;=Datos!$D$14,(K439*Datos!$C$14)))</f>
        <v>502.25</v>
      </c>
      <c r="M439" s="284">
        <f>IF(K439&gt;=Datos!$D$15,(Datos!$D$15*Datos!$C$15),IF(K439&lt;=Datos!$D$15,(K439*Datos!$C$15)))</f>
        <v>532</v>
      </c>
      <c r="N439" s="231"/>
      <c r="O439" s="231">
        <f t="shared" ref="O439" si="69">K439-(L439+M439+N439)</f>
        <v>16465.75</v>
      </c>
      <c r="P439" s="223">
        <f>IF(O439&lt;=Datos!$G$7,"0",IF(O439&lt;=Datos!$G$8,(O439-Datos!$F$8)*Datos!$I$6,IF(O439&lt;=Datos!$G$9,Datos!$I$8+(O439-Datos!$F$9)*Datos!$J$6,IF(O439&gt;=Datos!$F$10,(Datos!$I$8+Datos!$J$8)+(O439-Datos!$F$10)*Datos!$K$6))))-W439</f>
        <v>0</v>
      </c>
      <c r="Q439" s="231">
        <f>IFERROR(VLOOKUP(C439,[1]Hoja1!$D$5:$E$58,2,FALSE),0)</f>
        <v>0</v>
      </c>
      <c r="R439" s="234"/>
      <c r="S439" s="234"/>
      <c r="T439" s="234"/>
      <c r="U439" s="234"/>
      <c r="V439" s="231">
        <v>25</v>
      </c>
      <c r="W439" s="231"/>
      <c r="X439" s="234">
        <f t="shared" ref="X439" si="70">SUM(P439:V439)+(L439+M439+N439)-W439</f>
        <v>1059.25</v>
      </c>
      <c r="Y439" s="234">
        <f t="shared" ref="Y439" si="71">+K439-X439</f>
        <v>16440.75</v>
      </c>
      <c r="Z439" s="296">
        <v>9607759035</v>
      </c>
      <c r="AA439" s="298">
        <v>45627</v>
      </c>
      <c r="AB439" s="235"/>
      <c r="AC439" s="264"/>
    </row>
    <row r="440" spans="1:29" s="236" customFormat="1" x14ac:dyDescent="0.25">
      <c r="A440" s="232"/>
      <c r="B440" s="302">
        <v>434</v>
      </c>
      <c r="C440" s="295" t="s">
        <v>1370</v>
      </c>
      <c r="D440" s="297" t="s">
        <v>1375</v>
      </c>
      <c r="E440" s="232" t="s">
        <v>85</v>
      </c>
      <c r="F440" s="232" t="s">
        <v>87</v>
      </c>
      <c r="G440" s="295">
        <v>1</v>
      </c>
      <c r="H440" s="296" t="s">
        <v>1502</v>
      </c>
      <c r="I440" s="309" t="s">
        <v>1062</v>
      </c>
      <c r="J440" s="232" t="s">
        <v>983</v>
      </c>
      <c r="K440" s="233">
        <v>26000</v>
      </c>
      <c r="L440" s="284">
        <f>IF(K440&gt;=Datos!$D$14,(Datos!$D$14*Datos!$C$14),IF(K440&lt;=Datos!$D$14,(K440*Datos!$C$14)))</f>
        <v>746.2</v>
      </c>
      <c r="M440" s="284">
        <f>IF(K440&gt;=Datos!$D$15,(Datos!$D$15*Datos!$C$15),IF(K440&lt;=Datos!$D$15,(K440*Datos!$C$15)))</f>
        <v>790.4</v>
      </c>
      <c r="N440" s="231"/>
      <c r="O440" s="231">
        <f t="shared" si="54"/>
        <v>24463.4</v>
      </c>
      <c r="P440" s="223">
        <f>IF(O440&lt;=Datos!$G$7,"0",IF(O440&lt;=Datos!$G$8,(O440-Datos!$F$8)*Datos!$I$6,IF(O440&lt;=Datos!$G$9,Datos!$I$8+(O440-Datos!$F$9)*Datos!$J$6,IF(O440&gt;=Datos!$F$10,(Datos!$I$8+Datos!$J$8)+(O440-Datos!$F$10)*Datos!$K$6))))-W440</f>
        <v>0</v>
      </c>
      <c r="Q440" s="231">
        <f>IFERROR(VLOOKUP(C440,[1]Hoja1!$D$5:$E$58,2,FALSE),0)</f>
        <v>0</v>
      </c>
      <c r="R440" s="234"/>
      <c r="S440" s="234"/>
      <c r="T440" s="234"/>
      <c r="U440" s="234"/>
      <c r="V440" s="234">
        <v>25</v>
      </c>
      <c r="W440" s="231"/>
      <c r="X440" s="234">
        <f t="shared" si="64"/>
        <v>1561.6</v>
      </c>
      <c r="Y440" s="234">
        <f t="shared" si="65"/>
        <v>24438.400000000001</v>
      </c>
      <c r="Z440" s="296">
        <v>9606252878</v>
      </c>
      <c r="AA440" s="298">
        <v>45200</v>
      </c>
      <c r="AB440" s="235"/>
      <c r="AC440" s="264"/>
    </row>
    <row r="441" spans="1:29" s="236" customFormat="1" x14ac:dyDescent="0.25">
      <c r="A441" s="232"/>
      <c r="B441" s="302">
        <v>435</v>
      </c>
      <c r="C441" s="295" t="s">
        <v>1507</v>
      </c>
      <c r="D441" s="297" t="s">
        <v>1508</v>
      </c>
      <c r="E441" s="232" t="s">
        <v>85</v>
      </c>
      <c r="F441" s="232" t="s">
        <v>87</v>
      </c>
      <c r="G441" s="295">
        <v>1</v>
      </c>
      <c r="H441" s="296" t="s">
        <v>1379</v>
      </c>
      <c r="I441" s="309" t="s">
        <v>1062</v>
      </c>
      <c r="J441" s="232" t="s">
        <v>1509</v>
      </c>
      <c r="K441" s="233">
        <v>35000</v>
      </c>
      <c r="L441" s="284">
        <f>IF(K441&gt;=Datos!$D$14,(Datos!$D$14*Datos!$C$14),IF(K441&lt;=Datos!$D$14,(K441*Datos!$C$14)))</f>
        <v>1004.5</v>
      </c>
      <c r="M441" s="284">
        <f>IF(K441&gt;=Datos!$D$15,(Datos!$D$15*Datos!$C$15),IF(K441&lt;=Datos!$D$15,(K441*Datos!$C$15)))</f>
        <v>1064</v>
      </c>
      <c r="N441" s="231"/>
      <c r="O441" s="231">
        <f t="shared" si="54"/>
        <v>32931.5</v>
      </c>
      <c r="P441" s="223">
        <f>IF(O441&lt;=Datos!$G$7,"0",IF(O441&lt;=Datos!$G$8,(O441-Datos!$F$8)*Datos!$I$6,IF(O441&lt;=Datos!$G$9,Datos!$I$8+(O441-Datos!$F$9)*Datos!$J$6,IF(O441&gt;=Datos!$F$10,(Datos!$I$8+Datos!$J$8)+(O441-Datos!$F$10)*Datos!$K$6))))-W441</f>
        <v>0</v>
      </c>
      <c r="Q441" s="231">
        <f>IFERROR(VLOOKUP(C441,[1]Hoja1!$D$5:$E$58,2,FALSE),0)</f>
        <v>0</v>
      </c>
      <c r="R441" s="234"/>
      <c r="S441" s="234"/>
      <c r="T441" s="234"/>
      <c r="U441" s="234"/>
      <c r="V441" s="234">
        <v>25</v>
      </c>
      <c r="W441" s="231"/>
      <c r="X441" s="234">
        <f t="shared" si="64"/>
        <v>2093.5</v>
      </c>
      <c r="Y441" s="234">
        <f t="shared" si="65"/>
        <v>32906.5</v>
      </c>
      <c r="Z441" s="296"/>
      <c r="AA441" s="298">
        <v>45352</v>
      </c>
      <c r="AB441" s="235"/>
      <c r="AC441" s="264"/>
    </row>
    <row r="442" spans="1:29" s="236" customFormat="1" x14ac:dyDescent="0.25">
      <c r="A442" s="232"/>
      <c r="B442" s="302">
        <v>436</v>
      </c>
      <c r="C442" s="295" t="s">
        <v>582</v>
      </c>
      <c r="D442" s="232" t="s">
        <v>821</v>
      </c>
      <c r="E442" s="232" t="s">
        <v>85</v>
      </c>
      <c r="F442" s="232" t="s">
        <v>87</v>
      </c>
      <c r="G442" s="295">
        <v>4</v>
      </c>
      <c r="H442" s="296" t="s">
        <v>1211</v>
      </c>
      <c r="I442" s="309" t="s">
        <v>1060</v>
      </c>
      <c r="J442" s="232" t="s">
        <v>836</v>
      </c>
      <c r="K442" s="233">
        <f>66150+13850</f>
        <v>80000</v>
      </c>
      <c r="L442" s="284">
        <f>IF(K442&gt;=Datos!$D$14,(Datos!$D$14*Datos!$C$14),IF(K442&lt;=Datos!$D$14,(K442*Datos!$C$14)))</f>
        <v>2296</v>
      </c>
      <c r="M442" s="284">
        <f>IF(K442&gt;=Datos!$D$15,(Datos!$D$15*Datos!$C$15),IF(K442&lt;=Datos!$D$15,(K442*Datos!$C$15)))</f>
        <v>2432</v>
      </c>
      <c r="N442" s="231"/>
      <c r="O442" s="231">
        <f t="shared" ref="O442:O448" si="72">K442-(L442+M442+N442)</f>
        <v>75272</v>
      </c>
      <c r="P442" s="223">
        <f>IF(O442&lt;=Datos!$G$7,"0",IF(O442&lt;=Datos!$G$8,(O442-Datos!$F$8)*Datos!$I$6,IF(O442&lt;=Datos!$G$9,Datos!$I$8+(O442-Datos!$F$9)*Datos!$J$6,IF(O442&gt;=Datos!$F$10,(Datos!$I$8+Datos!$J$8)+(O442-Datos!$F$10)*Datos!$K$6))))-W442</f>
        <v>7400.8606666666674</v>
      </c>
      <c r="Q442" s="231">
        <f>IFERROR(VLOOKUP(C442,[1]Hoja1!$D$5:$E$58,2,FALSE),0)</f>
        <v>0</v>
      </c>
      <c r="R442" s="234"/>
      <c r="S442" s="234"/>
      <c r="T442" s="234"/>
      <c r="U442" s="234"/>
      <c r="V442" s="234">
        <v>25</v>
      </c>
      <c r="W442" s="231"/>
      <c r="X442" s="234">
        <f t="shared" si="64"/>
        <v>12153.860666666667</v>
      </c>
      <c r="Y442" s="234">
        <f t="shared" si="65"/>
        <v>67846.139333333325</v>
      </c>
      <c r="Z442" s="296" t="s">
        <v>342</v>
      </c>
      <c r="AA442" s="298">
        <v>1</v>
      </c>
      <c r="AB442" s="235"/>
      <c r="AC442" s="264"/>
    </row>
    <row r="443" spans="1:29" s="236" customFormat="1" x14ac:dyDescent="0.25">
      <c r="A443" s="232"/>
      <c r="B443" s="302">
        <v>437</v>
      </c>
      <c r="C443" s="295" t="s">
        <v>583</v>
      </c>
      <c r="D443" s="232" t="s">
        <v>822</v>
      </c>
      <c r="E443" s="232" t="s">
        <v>85</v>
      </c>
      <c r="F443" s="232" t="s">
        <v>87</v>
      </c>
      <c r="G443" s="295">
        <v>5</v>
      </c>
      <c r="H443" s="296" t="s">
        <v>1662</v>
      </c>
      <c r="I443" s="309" t="s">
        <v>1060</v>
      </c>
      <c r="J443" s="232" t="s">
        <v>837</v>
      </c>
      <c r="K443" s="233">
        <v>65000</v>
      </c>
      <c r="L443" s="284">
        <f>IF(K443&gt;=Datos!$D$14,(Datos!$D$14*Datos!$C$14),IF(K443&lt;=Datos!$D$14,(K443*Datos!$C$14)))</f>
        <v>1865.5</v>
      </c>
      <c r="M443" s="284">
        <f>IF(K443&gt;=Datos!$D$15,(Datos!$D$15*Datos!$C$15),IF(K443&lt;=Datos!$D$15,(K443*Datos!$C$15)))</f>
        <v>1976</v>
      </c>
      <c r="N443" s="231"/>
      <c r="O443" s="231">
        <f t="shared" si="72"/>
        <v>61158.5</v>
      </c>
      <c r="P443" s="223">
        <f>IF(O443&lt;=Datos!$G$7,"0",IF(O443&lt;=Datos!$G$8,(O443-Datos!$F$8)*Datos!$I$6,IF(O443&lt;=Datos!$G$9,Datos!$I$8+(O443-Datos!$F$9)*Datos!$J$6,IF(O443&gt;=Datos!$F$10,(Datos!$I$8+Datos!$J$8)+(O443-Datos!$F$10)*Datos!$K$6))))-W443</f>
        <v>4427.5756666666657</v>
      </c>
      <c r="Q443" s="231">
        <f>IFERROR(VLOOKUP(C443,[1]Hoja1!$D$5:$E$58,2,FALSE),0)</f>
        <v>0</v>
      </c>
      <c r="R443" s="234"/>
      <c r="S443" s="234"/>
      <c r="T443" s="234"/>
      <c r="U443" s="234"/>
      <c r="V443" s="234">
        <v>25</v>
      </c>
      <c r="W443" s="231"/>
      <c r="X443" s="234">
        <f t="shared" si="64"/>
        <v>8294.0756666666657</v>
      </c>
      <c r="Y443" s="234">
        <f t="shared" si="65"/>
        <v>56705.924333333336</v>
      </c>
      <c r="Z443" s="296" t="s">
        <v>343</v>
      </c>
      <c r="AA443" s="298">
        <v>44197</v>
      </c>
      <c r="AB443" s="235"/>
      <c r="AC443" s="264"/>
    </row>
    <row r="444" spans="1:29" s="236" customFormat="1" x14ac:dyDescent="0.25">
      <c r="A444" s="232"/>
      <c r="B444" s="302">
        <v>438</v>
      </c>
      <c r="C444" s="295" t="s">
        <v>1605</v>
      </c>
      <c r="D444" s="232" t="s">
        <v>1606</v>
      </c>
      <c r="E444" s="232" t="s">
        <v>85</v>
      </c>
      <c r="F444" s="232" t="s">
        <v>87</v>
      </c>
      <c r="G444" s="295">
        <v>1</v>
      </c>
      <c r="H444" s="296" t="s">
        <v>1548</v>
      </c>
      <c r="I444" s="309" t="s">
        <v>1067</v>
      </c>
      <c r="J444" s="232" t="s">
        <v>833</v>
      </c>
      <c r="K444" s="233">
        <v>17500</v>
      </c>
      <c r="L444" s="284">
        <f>IF(K444&gt;=Datos!$D$14,(Datos!$D$14*Datos!$C$14),IF(K444&lt;=Datos!$D$14,(K444*Datos!$C$14)))</f>
        <v>502.25</v>
      </c>
      <c r="M444" s="284">
        <f>IF(K444&gt;=Datos!$D$15,(Datos!$D$15*Datos!$C$15),IF(K444&lt;=Datos!$D$15,(K444*Datos!$C$15)))</f>
        <v>532</v>
      </c>
      <c r="N444" s="231"/>
      <c r="O444" s="231">
        <f t="shared" si="72"/>
        <v>16465.75</v>
      </c>
      <c r="P444" s="223">
        <f>IF(O444&lt;=Datos!$G$7,"0",IF(O444&lt;=Datos!$G$8,(O444-Datos!$F$8)*Datos!$I$6,IF(O444&lt;=Datos!$G$9,Datos!$I$8+(O444-Datos!$F$9)*Datos!$J$6,IF(O444&gt;=Datos!$F$10,(Datos!$I$8+Datos!$J$8)+(O444-Datos!$F$10)*Datos!$K$6))))-W444</f>
        <v>0</v>
      </c>
      <c r="Q444" s="231">
        <v>0</v>
      </c>
      <c r="R444" s="234"/>
      <c r="S444" s="234"/>
      <c r="T444" s="234"/>
      <c r="U444" s="234"/>
      <c r="V444" s="234">
        <v>25</v>
      </c>
      <c r="W444" s="231"/>
      <c r="X444" s="234">
        <f t="shared" si="64"/>
        <v>1059.25</v>
      </c>
      <c r="Y444" s="234">
        <f t="shared" si="65"/>
        <v>16440.75</v>
      </c>
      <c r="Z444" s="296">
        <v>9607405815</v>
      </c>
      <c r="AA444" s="298">
        <v>45536</v>
      </c>
      <c r="AB444" s="235"/>
      <c r="AC444" s="264"/>
    </row>
    <row r="445" spans="1:29" s="236" customFormat="1" x14ac:dyDescent="0.25">
      <c r="A445" s="232"/>
      <c r="B445" s="302">
        <v>439</v>
      </c>
      <c r="C445" s="295" t="s">
        <v>1258</v>
      </c>
      <c r="D445" s="232" t="s">
        <v>1259</v>
      </c>
      <c r="E445" s="232" t="s">
        <v>85</v>
      </c>
      <c r="F445" s="232" t="s">
        <v>87</v>
      </c>
      <c r="G445" s="295">
        <v>1</v>
      </c>
      <c r="H445" s="296" t="s">
        <v>1502</v>
      </c>
      <c r="I445" s="309" t="s">
        <v>1061</v>
      </c>
      <c r="J445" s="232" t="s">
        <v>1178</v>
      </c>
      <c r="K445" s="233">
        <v>38000</v>
      </c>
      <c r="L445" s="284">
        <f>IF(K445&gt;=Datos!$D$14,(Datos!$D$14*Datos!$C$14),IF(K445&lt;=Datos!$D$14,(K445*Datos!$C$14)))</f>
        <v>1090.5999999999999</v>
      </c>
      <c r="M445" s="284">
        <f>IF(K445&gt;=Datos!$D$15,(Datos!$D$15*Datos!$C$15),IF(K445&lt;=Datos!$D$15,(K445*Datos!$C$15)))</f>
        <v>1155.2</v>
      </c>
      <c r="N445" s="231"/>
      <c r="O445" s="231">
        <f t="shared" si="72"/>
        <v>35754.199999999997</v>
      </c>
      <c r="P445" s="223">
        <f>IF(O445&lt;=Datos!$G$7,"0",IF(O445&lt;=Datos!$G$8,(O445-Datos!$F$8)*Datos!$I$6,IF(O445&lt;=Datos!$G$9,Datos!$I$8+(O445-Datos!$F$9)*Datos!$J$6,IF(O445&gt;=Datos!$F$10,(Datos!$I$8+Datos!$J$8)+(O445-Datos!$F$10)*Datos!$K$6))))-W445</f>
        <v>160.37849999999926</v>
      </c>
      <c r="Q445" s="231">
        <f>IFERROR(VLOOKUP(C445,[1]Hoja1!$D$5:$E$58,2,FALSE),0)</f>
        <v>0</v>
      </c>
      <c r="R445" s="234"/>
      <c r="S445" s="234"/>
      <c r="T445" s="234"/>
      <c r="U445" s="234"/>
      <c r="V445" s="234">
        <v>25</v>
      </c>
      <c r="W445" s="231"/>
      <c r="X445" s="234">
        <f t="shared" si="64"/>
        <v>2431.1784999999995</v>
      </c>
      <c r="Y445" s="234">
        <f t="shared" si="65"/>
        <v>35568.821499999998</v>
      </c>
      <c r="Z445" s="296" t="s">
        <v>1260</v>
      </c>
      <c r="AA445" s="298">
        <v>45047</v>
      </c>
      <c r="AB445" s="235"/>
      <c r="AC445" s="264"/>
    </row>
    <row r="446" spans="1:29" s="236" customFormat="1" x14ac:dyDescent="0.25">
      <c r="A446" s="232"/>
      <c r="B446" s="302">
        <v>440</v>
      </c>
      <c r="C446" s="295" t="s">
        <v>584</v>
      </c>
      <c r="D446" s="232" t="s">
        <v>823</v>
      </c>
      <c r="E446" s="232" t="s">
        <v>85</v>
      </c>
      <c r="F446" s="232" t="s">
        <v>87</v>
      </c>
      <c r="G446" s="295">
        <v>5</v>
      </c>
      <c r="H446" s="296" t="s">
        <v>1210</v>
      </c>
      <c r="I446" s="309" t="s">
        <v>1062</v>
      </c>
      <c r="J446" s="232" t="s">
        <v>1050</v>
      </c>
      <c r="K446" s="233">
        <f>25000+20000+20000</f>
        <v>65000</v>
      </c>
      <c r="L446" s="284">
        <f>IF(K446&gt;=Datos!$D$14,(Datos!$D$14*Datos!$C$14),IF(K446&lt;=Datos!$D$14,(K446*Datos!$C$14)))</f>
        <v>1865.5</v>
      </c>
      <c r="M446" s="284">
        <f>IF(K446&gt;=Datos!$D$15,(Datos!$D$15*Datos!$C$15),IF(K446&lt;=Datos!$D$15,(K446*Datos!$C$15)))</f>
        <v>1976</v>
      </c>
      <c r="N446" s="231">
        <v>1715.46</v>
      </c>
      <c r="O446" s="231">
        <f t="shared" si="72"/>
        <v>59443.040000000001</v>
      </c>
      <c r="P446" s="223">
        <f>IF(O446&lt;=Datos!$G$7,"0",IF(O446&lt;=Datos!$G$8,(O446-Datos!$F$8)*Datos!$I$6,IF(O446&lt;=Datos!$G$9,Datos!$I$8+(O446-Datos!$F$9)*Datos!$J$6,IF(O446&gt;=Datos!$F$10,(Datos!$I$8+Datos!$J$8)+(O446-Datos!$F$10)*Datos!$K$6))))-W446</f>
        <v>4084.4836666666665</v>
      </c>
      <c r="Q446" s="231">
        <f>IFERROR(VLOOKUP(C446,[1]Hoja1!$D$5:$E$58,2,FALSE),0)</f>
        <v>0</v>
      </c>
      <c r="R446" s="234"/>
      <c r="S446" s="234"/>
      <c r="T446" s="234"/>
      <c r="U446" s="234"/>
      <c r="V446" s="234">
        <v>25</v>
      </c>
      <c r="W446" s="231"/>
      <c r="X446" s="234">
        <f t="shared" si="64"/>
        <v>9666.4436666666661</v>
      </c>
      <c r="Y446" s="234">
        <f t="shared" si="65"/>
        <v>55333.556333333334</v>
      </c>
      <c r="Z446" s="296" t="s">
        <v>344</v>
      </c>
      <c r="AA446" s="298">
        <v>44349</v>
      </c>
      <c r="AB446" s="235"/>
      <c r="AC446" s="264"/>
    </row>
    <row r="447" spans="1:29" s="236" customFormat="1" x14ac:dyDescent="0.25">
      <c r="A447" s="232"/>
      <c r="B447" s="302">
        <v>441</v>
      </c>
      <c r="C447" s="295" t="s">
        <v>1427</v>
      </c>
      <c r="D447" s="232" t="s">
        <v>1428</v>
      </c>
      <c r="E447" s="232" t="s">
        <v>85</v>
      </c>
      <c r="F447" s="232" t="s">
        <v>87</v>
      </c>
      <c r="G447" s="295">
        <v>1</v>
      </c>
      <c r="H447" s="296" t="s">
        <v>1548</v>
      </c>
      <c r="I447" s="309" t="s">
        <v>1067</v>
      </c>
      <c r="J447" s="232" t="s">
        <v>1439</v>
      </c>
      <c r="K447" s="233">
        <v>33000</v>
      </c>
      <c r="L447" s="284">
        <f>IF(K447&gt;=Datos!$D$14,(Datos!$D$14*Datos!$C$14),IF(K447&lt;=Datos!$D$14,(K447*Datos!$C$14)))</f>
        <v>947.1</v>
      </c>
      <c r="M447" s="284">
        <f>IF(K447&gt;=Datos!$D$15,(Datos!$D$15*Datos!$C$15),IF(K447&lt;=Datos!$D$15,(K447*Datos!$C$15)))</f>
        <v>1003.2</v>
      </c>
      <c r="N447" s="231"/>
      <c r="O447" s="231">
        <f t="shared" si="72"/>
        <v>31049.7</v>
      </c>
      <c r="P447" s="223">
        <f>IF(O447&lt;=Datos!$G$7,"0",IF(O447&lt;=Datos!$G$8,(O447-Datos!$F$8)*Datos!$I$6,IF(O447&lt;=Datos!$G$9,Datos!$I$8+(O447-Datos!$F$9)*Datos!$J$6,IF(O447&gt;=Datos!$F$10,(Datos!$I$8+Datos!$J$8)+(O447-Datos!$F$10)*Datos!$K$6))))-W447</f>
        <v>0</v>
      </c>
      <c r="Q447" s="231">
        <v>0</v>
      </c>
      <c r="R447" s="234"/>
      <c r="S447" s="234"/>
      <c r="T447" s="234"/>
      <c r="U447" s="234"/>
      <c r="V447" s="234">
        <v>25</v>
      </c>
      <c r="W447" s="231"/>
      <c r="X447" s="234">
        <f t="shared" si="64"/>
        <v>1975.3000000000002</v>
      </c>
      <c r="Y447" s="234">
        <f t="shared" si="65"/>
        <v>31024.7</v>
      </c>
      <c r="Z447" s="296">
        <v>9606355147</v>
      </c>
      <c r="AA447" s="298">
        <v>45231</v>
      </c>
      <c r="AB447" s="235"/>
      <c r="AC447" s="264"/>
    </row>
    <row r="448" spans="1:29" s="236" customFormat="1" x14ac:dyDescent="0.25">
      <c r="A448" s="232"/>
      <c r="B448" s="302">
        <v>442</v>
      </c>
      <c r="C448" s="295" t="s">
        <v>585</v>
      </c>
      <c r="D448" s="232" t="s">
        <v>824</v>
      </c>
      <c r="E448" s="232" t="s">
        <v>85</v>
      </c>
      <c r="F448" s="232" t="s">
        <v>87</v>
      </c>
      <c r="G448" s="295">
        <v>1</v>
      </c>
      <c r="H448" s="296" t="s">
        <v>1209</v>
      </c>
      <c r="I448" s="309" t="s">
        <v>1062</v>
      </c>
      <c r="J448" s="232" t="s">
        <v>840</v>
      </c>
      <c r="K448" s="233">
        <f>45000+15000</f>
        <v>60000</v>
      </c>
      <c r="L448" s="284">
        <f>IF(K448&gt;=Datos!$D$14,(Datos!$D$14*Datos!$C$14),IF(K448&lt;=Datos!$D$14,(K448*Datos!$C$14)))</f>
        <v>1722</v>
      </c>
      <c r="M448" s="284">
        <f>IF(K448&gt;=Datos!$D$15,(Datos!$D$15*Datos!$C$15),IF(K448&lt;=Datos!$D$15,(K448*Datos!$C$15)))</f>
        <v>1824</v>
      </c>
      <c r="N448" s="231"/>
      <c r="O448" s="231">
        <f t="shared" si="72"/>
        <v>56454</v>
      </c>
      <c r="P448" s="223">
        <f>IF(O448&lt;=Datos!$G$7,"0",IF(O448&lt;=Datos!$G$8,(O448-Datos!$F$8)*Datos!$I$6,IF(O448&lt;=Datos!$G$9,Datos!$I$8+(O448-Datos!$F$9)*Datos!$J$6,IF(O448&gt;=Datos!$F$10,(Datos!$I$8+Datos!$J$8)+(O448-Datos!$F$10)*Datos!$K$6))))-W448</f>
        <v>3486.6756666666661</v>
      </c>
      <c r="Q448" s="231">
        <f>IFERROR(VLOOKUP(C448,[1]Hoja1!$D$5:$E$58,2,FALSE),0)</f>
        <v>0</v>
      </c>
      <c r="R448" s="234"/>
      <c r="S448" s="234"/>
      <c r="T448" s="234"/>
      <c r="U448" s="234"/>
      <c r="V448" s="234">
        <v>25</v>
      </c>
      <c r="W448" s="231"/>
      <c r="X448" s="234">
        <f t="shared" si="64"/>
        <v>7057.6756666666661</v>
      </c>
      <c r="Y448" s="234">
        <f t="shared" si="65"/>
        <v>52942.324333333338</v>
      </c>
      <c r="Z448" s="296" t="s">
        <v>345</v>
      </c>
      <c r="AA448" s="298">
        <v>44470</v>
      </c>
      <c r="AB448" s="235"/>
      <c r="AC448" s="264"/>
    </row>
    <row r="449" spans="2:29" ht="16.5" thickBot="1" x14ac:dyDescent="0.3">
      <c r="K449" s="51"/>
      <c r="L449" s="52"/>
      <c r="M449" s="52"/>
      <c r="N449" s="51"/>
      <c r="O449" s="51"/>
      <c r="P449" s="223">
        <f>IF(O449&lt;=Datos!$G$7,"0",IF(O449&lt;=Datos!$G$8,(O449-Datos!$F$8)*Datos!$I$6,IF(O449&lt;=Datos!$G$9,Datos!$I$8+(O449-Datos!$F$9)*Datos!$J$6,IF(O449&gt;=Datos!$F$10,(Datos!$I$8+Datos!$J$8)+(O449-Datos!$F$10)*Datos!$K$6))))-W449</f>
        <v>0</v>
      </c>
      <c r="Q449" s="51"/>
      <c r="R449" s="51"/>
      <c r="S449" s="51"/>
      <c r="T449" s="51"/>
      <c r="U449" s="51"/>
      <c r="V449" s="51"/>
      <c r="W449" s="51"/>
      <c r="X449" s="51"/>
      <c r="Y449" s="51"/>
      <c r="AB449" s="63"/>
      <c r="AC449" s="63"/>
    </row>
    <row r="450" spans="2:29" ht="16.5" thickBot="1" x14ac:dyDescent="0.3">
      <c r="B450" s="397" t="s">
        <v>41</v>
      </c>
      <c r="C450" s="398"/>
      <c r="D450" s="398"/>
      <c r="E450" s="399"/>
      <c r="F450" s="101"/>
      <c r="G450" s="101"/>
      <c r="H450" s="101"/>
      <c r="I450" s="101"/>
      <c r="J450" s="101"/>
      <c r="K450" s="69">
        <f t="shared" ref="K450:Y450" si="73">SUM(K7:K449)</f>
        <v>21047222.099999998</v>
      </c>
      <c r="L450" s="69">
        <f>SUM(L7:L449)</f>
        <v>604055.27426999935</v>
      </c>
      <c r="M450" s="69">
        <f t="shared" si="73"/>
        <v>638118.7118400007</v>
      </c>
      <c r="N450" s="69">
        <f t="shared" si="73"/>
        <v>123513.12000000008</v>
      </c>
      <c r="O450" s="69">
        <f t="shared" si="73"/>
        <v>19681534.993889961</v>
      </c>
      <c r="P450" s="69">
        <f>SUM(P7:P449)</f>
        <v>1174849.2006380665</v>
      </c>
      <c r="Q450" s="69">
        <f t="shared" si="73"/>
        <v>322920.99000000005</v>
      </c>
      <c r="R450" s="69">
        <f t="shared" si="73"/>
        <v>0</v>
      </c>
      <c r="S450" s="69">
        <f t="shared" si="73"/>
        <v>0</v>
      </c>
      <c r="T450" s="69">
        <f t="shared" si="73"/>
        <v>0</v>
      </c>
      <c r="U450" s="69">
        <f t="shared" si="73"/>
        <v>0</v>
      </c>
      <c r="V450" s="69">
        <f t="shared" si="73"/>
        <v>11025</v>
      </c>
      <c r="W450" s="69">
        <f t="shared" si="73"/>
        <v>0</v>
      </c>
      <c r="X450" s="69">
        <f t="shared" si="73"/>
        <v>2874482.2967480645</v>
      </c>
      <c r="Y450" s="69">
        <f t="shared" si="73"/>
        <v>18172739.803251918</v>
      </c>
    </row>
    <row r="451" spans="2:29" ht="16.5" thickBot="1" x14ac:dyDescent="0.3">
      <c r="N451" s="63"/>
      <c r="V451" s="63"/>
    </row>
    <row r="452" spans="2:29" ht="16.5" thickBot="1" x14ac:dyDescent="0.3">
      <c r="B452" s="400" t="s">
        <v>869</v>
      </c>
      <c r="C452" s="401"/>
      <c r="D452" s="401"/>
      <c r="E452" s="402"/>
      <c r="F452" s="94"/>
      <c r="G452" s="94"/>
      <c r="H452" s="94"/>
      <c r="I452" s="94"/>
      <c r="J452" s="94"/>
      <c r="K452" s="78">
        <v>19618226.07</v>
      </c>
      <c r="L452" s="78">
        <v>563043.11</v>
      </c>
      <c r="M452" s="78">
        <v>594479.48</v>
      </c>
      <c r="N452" s="78">
        <v>95838</v>
      </c>
      <c r="O452" s="78"/>
      <c r="P452" s="78">
        <v>1128014.23</v>
      </c>
      <c r="Q452" s="78">
        <v>384927.86000000016</v>
      </c>
      <c r="R452" s="78">
        <v>1025</v>
      </c>
      <c r="S452" s="78">
        <v>0</v>
      </c>
      <c r="T452" s="78">
        <v>65800</v>
      </c>
      <c r="U452" s="78">
        <v>200</v>
      </c>
      <c r="V452" s="78">
        <v>9975</v>
      </c>
      <c r="W452" s="78">
        <v>0</v>
      </c>
      <c r="X452" s="78">
        <v>2663159.16</v>
      </c>
      <c r="Y452" s="78">
        <v>16212023.58</v>
      </c>
    </row>
    <row r="453" spans="2:29" x14ac:dyDescent="0.25">
      <c r="B453" s="96">
        <f>391-7</f>
        <v>384</v>
      </c>
      <c r="K453" s="62">
        <f>+K452-K450</f>
        <v>-1428996.0299999975</v>
      </c>
      <c r="L453" s="63">
        <f t="shared" ref="L453:P453" si="74">+L452-L450</f>
        <v>-41012.164269999368</v>
      </c>
      <c r="M453" s="63">
        <f t="shared" si="74"/>
        <v>-43639.231840000721</v>
      </c>
      <c r="N453" s="63">
        <f>+N450-N452</f>
        <v>27675.120000000083</v>
      </c>
      <c r="O453" s="63"/>
      <c r="P453" s="63">
        <f t="shared" si="74"/>
        <v>-46834.97063806653</v>
      </c>
      <c r="Q453" s="63">
        <v>60866.79</v>
      </c>
      <c r="R453" s="63"/>
      <c r="S453" s="63"/>
      <c r="T453" s="63"/>
      <c r="U453" s="63"/>
      <c r="V453" s="111">
        <f>+V452-V450</f>
        <v>-1050</v>
      </c>
      <c r="W453" s="63">
        <f>+W452-W450</f>
        <v>0</v>
      </c>
      <c r="X453" s="63">
        <f>+X452-X450</f>
        <v>-211323.13674806431</v>
      </c>
      <c r="Y453" s="63">
        <f>+Y452-Y450</f>
        <v>-1960716.2232519183</v>
      </c>
    </row>
    <row r="454" spans="2:29" x14ac:dyDescent="0.25">
      <c r="B454" s="96">
        <v>29</v>
      </c>
      <c r="K454" s="182"/>
      <c r="N454" s="63"/>
      <c r="Q454" s="286">
        <f>+Q452-Q453</f>
        <v>324061.07000000018</v>
      </c>
      <c r="Y454" s="63"/>
    </row>
    <row r="455" spans="2:29" x14ac:dyDescent="0.25">
      <c r="B455" s="96">
        <v>46</v>
      </c>
      <c r="F455" s="14">
        <f>+B448-7</f>
        <v>435</v>
      </c>
      <c r="K455" s="62"/>
    </row>
    <row r="456" spans="2:29" s="183" customFormat="1" ht="15" x14ac:dyDescent="0.25">
      <c r="B456" s="184">
        <v>14</v>
      </c>
      <c r="D456" s="186"/>
      <c r="K456" s="182"/>
      <c r="L456" s="182"/>
      <c r="P456" s="186"/>
      <c r="T456" s="186"/>
    </row>
    <row r="457" spans="2:29" s="183" customFormat="1" x14ac:dyDescent="0.25">
      <c r="B457" s="96">
        <f>SUM(B453:B456)</f>
        <v>473</v>
      </c>
      <c r="J457" s="183">
        <v>1</v>
      </c>
      <c r="K457" s="182"/>
      <c r="M457" s="209" t="s">
        <v>1341</v>
      </c>
      <c r="N457" s="85">
        <v>102534.25</v>
      </c>
      <c r="O457" s="63"/>
      <c r="P457" s="14"/>
      <c r="Q457" s="50"/>
      <c r="R457" s="50"/>
      <c r="S457" s="50"/>
      <c r="T457" s="50"/>
      <c r="U457" s="50"/>
    </row>
    <row r="458" spans="2:29" s="183" customFormat="1" x14ac:dyDescent="0.25">
      <c r="B458" s="96"/>
      <c r="J458" s="183">
        <v>3</v>
      </c>
      <c r="K458" s="182"/>
      <c r="M458" s="14"/>
      <c r="N458" s="63">
        <f>+N450</f>
        <v>123513.12000000008</v>
      </c>
      <c r="O458" s="14"/>
      <c r="P458" s="209" t="s">
        <v>1038</v>
      </c>
      <c r="Q458" s="210">
        <v>433963.39999999991</v>
      </c>
      <c r="R458" s="210"/>
      <c r="S458" s="210"/>
      <c r="T458" s="210"/>
      <c r="U458" s="210"/>
    </row>
    <row r="459" spans="2:29" s="183" customFormat="1" x14ac:dyDescent="0.25">
      <c r="B459" s="98"/>
      <c r="C459" s="216" t="s">
        <v>1337</v>
      </c>
      <c r="J459" s="183">
        <v>4</v>
      </c>
      <c r="K459" s="182"/>
      <c r="N459" s="186">
        <f>+'Nómina CAID Temporal'!N101</f>
        <v>17154.599999999995</v>
      </c>
      <c r="P459" s="14" t="s">
        <v>1963</v>
      </c>
      <c r="Q459" s="63">
        <f>+Q450</f>
        <v>322920.99000000005</v>
      </c>
      <c r="R459" s="63"/>
      <c r="S459" s="63"/>
      <c r="T459" s="63"/>
      <c r="U459" s="63"/>
    </row>
    <row r="460" spans="2:29" s="183" customFormat="1" x14ac:dyDescent="0.25">
      <c r="B460" s="99"/>
      <c r="C460" s="14" t="s">
        <v>1057</v>
      </c>
      <c r="K460" s="186"/>
      <c r="N460" s="186">
        <f>+N459+N458</f>
        <v>140667.72000000009</v>
      </c>
      <c r="P460" s="14" t="s">
        <v>1226</v>
      </c>
      <c r="Q460" s="63">
        <f>+'Nómina CAID Temporal'!Q101</f>
        <v>107529.36</v>
      </c>
      <c r="R460" s="63"/>
      <c r="S460" s="63"/>
      <c r="T460" s="63"/>
      <c r="U460" s="63"/>
    </row>
    <row r="461" spans="2:29" s="183" customFormat="1" x14ac:dyDescent="0.25">
      <c r="B461" s="100"/>
      <c r="C461" s="14" t="s">
        <v>1058</v>
      </c>
      <c r="M461" s="211" t="s">
        <v>1339</v>
      </c>
      <c r="N461" s="208">
        <f>+N457-N460</f>
        <v>-38133.470000000088</v>
      </c>
      <c r="P461" s="183" t="s">
        <v>1948</v>
      </c>
      <c r="Q461" s="63">
        <f>+'Nómina CAID Eventual'!Q34</f>
        <v>1513.05</v>
      </c>
      <c r="R461" s="63"/>
      <c r="S461" s="63"/>
      <c r="T461" s="63"/>
      <c r="U461" s="63"/>
    </row>
    <row r="462" spans="2:29" s="183" customFormat="1" x14ac:dyDescent="0.25">
      <c r="B462" s="183" t="s">
        <v>1340</v>
      </c>
      <c r="N462" s="183" t="s">
        <v>1342</v>
      </c>
      <c r="P462" s="14"/>
      <c r="Q462" s="62">
        <f>SUM(Q459:Q461)</f>
        <v>431963.4</v>
      </c>
      <c r="R462" s="62"/>
      <c r="S462" s="62"/>
      <c r="T462" s="62"/>
      <c r="U462" s="62"/>
    </row>
    <row r="463" spans="2:29" s="183" customFormat="1" ht="45" x14ac:dyDescent="0.25">
      <c r="B463" s="187" t="s">
        <v>1280</v>
      </c>
      <c r="C463" s="187" t="s">
        <v>1281</v>
      </c>
      <c r="D463" s="187"/>
      <c r="E463" s="187" t="s">
        <v>1290</v>
      </c>
      <c r="J463" s="183" t="s">
        <v>1597</v>
      </c>
      <c r="P463" s="207" t="s">
        <v>1339</v>
      </c>
      <c r="Q463" s="208">
        <f>+Q462-Q458</f>
        <v>-1999.9999999998836</v>
      </c>
      <c r="R463" s="208"/>
      <c r="S463" s="208"/>
      <c r="T463" s="208"/>
      <c r="U463" s="208"/>
    </row>
    <row r="464" spans="2:29" s="183" customFormat="1" x14ac:dyDescent="0.25">
      <c r="B464" s="200" t="s">
        <v>1282</v>
      </c>
      <c r="C464" s="214" t="s">
        <v>1283</v>
      </c>
      <c r="D464" s="188"/>
      <c r="E464" s="189">
        <v>1025</v>
      </c>
    </row>
    <row r="465" spans="2:21" s="183" customFormat="1" ht="15" x14ac:dyDescent="0.25">
      <c r="B465" s="201" t="s">
        <v>1284</v>
      </c>
      <c r="C465" s="214" t="s">
        <v>1285</v>
      </c>
      <c r="D465" s="188"/>
      <c r="E465" s="190">
        <v>4070</v>
      </c>
    </row>
    <row r="466" spans="2:21" s="183" customFormat="1" ht="15" x14ac:dyDescent="0.25">
      <c r="B466" s="202" t="s">
        <v>1286</v>
      </c>
      <c r="C466" s="214" t="s">
        <v>1287</v>
      </c>
      <c r="D466" s="188"/>
      <c r="E466" s="190">
        <v>70800</v>
      </c>
      <c r="Q466" s="185"/>
      <c r="R466" s="185"/>
      <c r="S466" s="185"/>
      <c r="T466" s="185"/>
      <c r="U466" s="185"/>
    </row>
    <row r="467" spans="2:21" x14ac:dyDescent="0.25">
      <c r="B467" s="203" t="s">
        <v>1288</v>
      </c>
      <c r="C467" s="214" t="s">
        <v>1289</v>
      </c>
      <c r="D467" s="188"/>
      <c r="E467" s="190">
        <v>200</v>
      </c>
    </row>
    <row r="468" spans="2:21" ht="18" x14ac:dyDescent="0.4">
      <c r="B468" s="186"/>
      <c r="C468" s="183"/>
      <c r="D468" s="183"/>
      <c r="E468" s="191">
        <f>SUM(E464:E467)</f>
        <v>76095</v>
      </c>
    </row>
    <row r="469" spans="2:21" x14ac:dyDescent="0.25">
      <c r="E469" s="62">
        <f>+Y453</f>
        <v>-1960716.2232519183</v>
      </c>
    </row>
    <row r="470" spans="2:21" x14ac:dyDescent="0.25">
      <c r="E470" s="62">
        <f>SUBTOTAL(9,E468:E469)</f>
        <v>-1884621.2232519183</v>
      </c>
    </row>
    <row r="471" spans="2:21" x14ac:dyDescent="0.25">
      <c r="E471" s="63">
        <f>+N453</f>
        <v>27675.120000000083</v>
      </c>
    </row>
    <row r="472" spans="2:21" x14ac:dyDescent="0.25">
      <c r="E472" s="63">
        <f>+E471+E470</f>
        <v>-1856946.1032519182</v>
      </c>
    </row>
  </sheetData>
  <mergeCells count="4">
    <mergeCell ref="B3:Y3"/>
    <mergeCell ref="B4:Y4"/>
    <mergeCell ref="B450:E450"/>
    <mergeCell ref="B452:E452"/>
  </mergeCells>
  <pageMargins left="0.70866141732283505" right="0.70866141732283505" top="0.74803149606299202" bottom="0.74803149606299202" header="0.31496062992126" footer="0.31496062992126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51"/>
  <sheetViews>
    <sheetView showGridLines="0" zoomScale="71" zoomScaleNormal="71" zoomScaleSheetLayoutView="100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I46" sqref="I46"/>
    </sheetView>
  </sheetViews>
  <sheetFormatPr baseColWidth="10" defaultColWidth="11.42578125" defaultRowHeight="15" x14ac:dyDescent="0.25"/>
  <cols>
    <col min="1" max="1" width="7.28515625" style="123" customWidth="1"/>
    <col min="2" max="2" width="16.42578125" style="124" customWidth="1"/>
    <col min="3" max="3" width="29.28515625" style="125" customWidth="1"/>
    <col min="4" max="4" width="15.140625" style="125" customWidth="1"/>
    <col min="5" max="5" width="14.7109375" style="125" customWidth="1"/>
    <col min="6" max="6" width="23" style="125" customWidth="1"/>
    <col min="7" max="7" width="29.28515625" style="125" customWidth="1"/>
    <col min="8" max="10" width="22" style="130" customWidth="1"/>
    <col min="11" max="11" width="23.140625" style="125" customWidth="1"/>
    <col min="12" max="12" width="14.7109375" style="116" customWidth="1"/>
    <col min="13" max="13" width="16.28515625" style="116" customWidth="1"/>
    <col min="14" max="14" width="12.28515625" style="116" bestFit="1" customWidth="1"/>
    <col min="15" max="16384" width="11.42578125" style="116"/>
  </cols>
  <sheetData>
    <row r="4" spans="1:13" x14ac:dyDescent="0.25">
      <c r="F4" s="130"/>
      <c r="G4" s="225"/>
    </row>
    <row r="5" spans="1:13" x14ac:dyDescent="0.25">
      <c r="F5" s="130"/>
      <c r="G5" s="225"/>
    </row>
    <row r="7" spans="1:13" x14ac:dyDescent="0.25">
      <c r="A7" s="112" t="s">
        <v>1952</v>
      </c>
      <c r="B7" s="113"/>
      <c r="C7" s="114"/>
      <c r="D7" s="114"/>
      <c r="E7" s="114"/>
      <c r="F7" s="114"/>
      <c r="G7" s="114"/>
      <c r="H7" s="115"/>
      <c r="I7" s="115"/>
      <c r="J7" s="115"/>
      <c r="K7" s="114"/>
      <c r="L7" s="115"/>
    </row>
    <row r="8" spans="1:13" x14ac:dyDescent="0.25">
      <c r="A8" s="116" t="s">
        <v>1165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3" s="118" customFormat="1" ht="48" customHeight="1" x14ac:dyDescent="0.25">
      <c r="A9" s="97" t="s">
        <v>1166</v>
      </c>
      <c r="B9" s="97" t="s">
        <v>1167</v>
      </c>
      <c r="C9" s="97" t="s">
        <v>1168</v>
      </c>
      <c r="D9" s="97" t="s">
        <v>1169</v>
      </c>
      <c r="E9" s="97" t="s">
        <v>1197</v>
      </c>
      <c r="F9" s="97" t="s">
        <v>1170</v>
      </c>
      <c r="G9" s="97" t="s">
        <v>1171</v>
      </c>
      <c r="H9" s="117" t="s">
        <v>1172</v>
      </c>
      <c r="I9" s="117" t="s">
        <v>1173</v>
      </c>
      <c r="J9" s="117" t="s">
        <v>1240</v>
      </c>
      <c r="K9" s="97" t="s">
        <v>1174</v>
      </c>
      <c r="L9" s="97" t="s">
        <v>1175</v>
      </c>
      <c r="M9" s="248" t="s">
        <v>1455</v>
      </c>
    </row>
    <row r="10" spans="1:13" s="253" customFormat="1" ht="44.25" customHeight="1" x14ac:dyDescent="0.25">
      <c r="A10" s="252"/>
      <c r="B10" s="224"/>
      <c r="C10" s="224"/>
      <c r="D10" s="224"/>
      <c r="E10" s="224"/>
      <c r="F10" s="224"/>
      <c r="G10" s="224"/>
      <c r="H10" s="218"/>
      <c r="I10" s="218"/>
      <c r="J10" s="218"/>
      <c r="K10" s="224"/>
      <c r="L10" s="254"/>
      <c r="M10" s="255"/>
    </row>
    <row r="11" spans="1:13" x14ac:dyDescent="0.25">
      <c r="H11" s="126">
        <f>SUM(H10:H10)</f>
        <v>0</v>
      </c>
      <c r="I11" s="126">
        <f>SUM(I10:I10)</f>
        <v>0</v>
      </c>
      <c r="J11" s="126">
        <f>SUM(J10:J10)</f>
        <v>0</v>
      </c>
    </row>
    <row r="13" spans="1:13" x14ac:dyDescent="0.25">
      <c r="A13" s="112" t="s">
        <v>1953</v>
      </c>
      <c r="B13" s="113"/>
      <c r="C13" s="114"/>
      <c r="D13" s="114"/>
      <c r="E13" s="114"/>
      <c r="F13" s="114"/>
      <c r="G13" s="115"/>
      <c r="H13" s="115"/>
      <c r="I13" s="115"/>
      <c r="J13" s="114"/>
      <c r="K13" s="115"/>
    </row>
    <row r="14" spans="1:13" x14ac:dyDescent="0.25">
      <c r="A14" s="116" t="s">
        <v>1165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M14" s="116" t="s">
        <v>1585</v>
      </c>
    </row>
    <row r="15" spans="1:13" s="118" customFormat="1" ht="45" x14ac:dyDescent="0.25">
      <c r="A15" s="97" t="s">
        <v>1166</v>
      </c>
      <c r="B15" s="97" t="s">
        <v>1167</v>
      </c>
      <c r="C15" s="97" t="s">
        <v>1168</v>
      </c>
      <c r="D15" s="97" t="s">
        <v>1169</v>
      </c>
      <c r="E15" s="97" t="s">
        <v>1197</v>
      </c>
      <c r="F15" s="97" t="s">
        <v>1170</v>
      </c>
      <c r="G15" s="97" t="s">
        <v>1171</v>
      </c>
      <c r="H15" s="117" t="s">
        <v>1470</v>
      </c>
      <c r="I15" s="117" t="s">
        <v>1185</v>
      </c>
      <c r="J15" s="117" t="s">
        <v>1186</v>
      </c>
      <c r="K15" s="97" t="s">
        <v>1174</v>
      </c>
      <c r="L15" s="240" t="s">
        <v>1175</v>
      </c>
    </row>
    <row r="16" spans="1:13" s="253" customFormat="1" x14ac:dyDescent="0.25">
      <c r="A16" s="252"/>
      <c r="B16" s="224"/>
      <c r="C16" s="224"/>
      <c r="D16" s="224"/>
      <c r="E16" s="224"/>
      <c r="F16" s="224"/>
      <c r="G16" s="224"/>
      <c r="H16" s="218"/>
      <c r="I16" s="218"/>
      <c r="J16" s="218"/>
      <c r="K16" s="224"/>
      <c r="L16" s="254"/>
      <c r="M16" s="281"/>
    </row>
    <row r="17" spans="1:13" x14ac:dyDescent="0.25">
      <c r="A17" s="127"/>
      <c r="D17" s="128"/>
      <c r="E17" s="128"/>
      <c r="G17" s="151"/>
      <c r="H17" s="151">
        <f>SUM(H16:H16)</f>
        <v>0</v>
      </c>
      <c r="I17" s="151">
        <f>SUM(I16:I16)</f>
        <v>0</v>
      </c>
      <c r="J17" s="151">
        <f>+J16</f>
        <v>0</v>
      </c>
      <c r="K17" s="157"/>
    </row>
    <row r="20" spans="1:13" x14ac:dyDescent="0.25">
      <c r="H20" s="126"/>
      <c r="I20" s="126"/>
      <c r="J20" s="126"/>
    </row>
    <row r="21" spans="1:13" x14ac:dyDescent="0.25">
      <c r="A21" s="112" t="s">
        <v>1954</v>
      </c>
      <c r="B21" s="113"/>
      <c r="C21" s="114"/>
      <c r="D21" s="114"/>
      <c r="E21" s="114"/>
      <c r="F21" s="114"/>
      <c r="G21" s="114"/>
      <c r="H21" s="115"/>
      <c r="I21" s="115"/>
      <c r="J21"/>
      <c r="K21"/>
      <c r="L21"/>
    </row>
    <row r="22" spans="1:13" x14ac:dyDescent="0.25">
      <c r="A22" s="116" t="s">
        <v>1165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3" s="118" customFormat="1" ht="30" x14ac:dyDescent="0.25">
      <c r="A23" s="97" t="s">
        <v>1166</v>
      </c>
      <c r="B23" s="97" t="s">
        <v>1167</v>
      </c>
      <c r="C23" s="97" t="s">
        <v>1168</v>
      </c>
      <c r="D23" s="97" t="s">
        <v>1169</v>
      </c>
      <c r="E23" s="97" t="s">
        <v>1197</v>
      </c>
      <c r="F23" s="97" t="s">
        <v>1170</v>
      </c>
      <c r="G23" s="97" t="s">
        <v>1171</v>
      </c>
      <c r="H23" s="117" t="s">
        <v>1174</v>
      </c>
      <c r="I23" s="117" t="s">
        <v>1275</v>
      </c>
      <c r="J23" s="248" t="s">
        <v>1240</v>
      </c>
      <c r="K23" s="248" t="s">
        <v>1455</v>
      </c>
    </row>
    <row r="24" spans="1:13" s="253" customFormat="1" ht="44.25" customHeight="1" x14ac:dyDescent="0.25">
      <c r="A24" s="252">
        <v>1</v>
      </c>
      <c r="B24" s="224" t="s">
        <v>468</v>
      </c>
      <c r="C24" s="224" t="s">
        <v>709</v>
      </c>
      <c r="D24" s="224" t="s">
        <v>87</v>
      </c>
      <c r="E24" s="265">
        <v>5</v>
      </c>
      <c r="F24" s="224" t="s">
        <v>837</v>
      </c>
      <c r="G24" s="224" t="s">
        <v>44</v>
      </c>
      <c r="H24" s="218" t="s">
        <v>1969</v>
      </c>
      <c r="I24" s="218">
        <v>65000</v>
      </c>
      <c r="J24" s="218">
        <v>65000</v>
      </c>
      <c r="K24" s="282">
        <v>45664</v>
      </c>
      <c r="L24" s="281"/>
    </row>
    <row r="25" spans="1:13" ht="22.5" customHeight="1" x14ac:dyDescent="0.25">
      <c r="A25" s="127"/>
      <c r="D25" s="128"/>
      <c r="E25" s="128"/>
      <c r="F25" s="128"/>
      <c r="H25" s="129"/>
      <c r="I25" s="250">
        <f>SUM(I24:I24)</f>
        <v>65000</v>
      </c>
      <c r="J25" s="250">
        <f>SUM(J24:J24)</f>
        <v>65000</v>
      </c>
      <c r="K25"/>
      <c r="L25" s="249"/>
    </row>
    <row r="26" spans="1:13" x14ac:dyDescent="0.25">
      <c r="A26" s="127"/>
      <c r="D26" s="128"/>
      <c r="E26" s="128"/>
      <c r="F26" s="128"/>
      <c r="H26" s="129"/>
      <c r="I26" s="129"/>
      <c r="K26"/>
      <c r="L26"/>
      <c r="M26" s="116">
        <v>15166.666666666666</v>
      </c>
    </row>
    <row r="27" spans="1:13" customFormat="1" x14ac:dyDescent="0.25">
      <c r="A27" s="127"/>
      <c r="B27" s="124"/>
      <c r="C27" s="125"/>
      <c r="D27" s="128"/>
      <c r="E27" s="128"/>
      <c r="F27" s="128"/>
      <c r="G27" s="125"/>
      <c r="H27" s="129"/>
      <c r="I27" s="129"/>
      <c r="J27" s="159"/>
    </row>
    <row r="28" spans="1:13" x14ac:dyDescent="0.25">
      <c r="A28" s="127"/>
      <c r="D28" s="128"/>
      <c r="E28" s="128"/>
      <c r="F28" s="128"/>
      <c r="H28" s="129"/>
      <c r="I28" s="129"/>
      <c r="J28" s="159"/>
      <c r="K28"/>
      <c r="L28"/>
    </row>
    <row r="29" spans="1:13" x14ac:dyDescent="0.25">
      <c r="A29" s="127"/>
      <c r="D29" s="128"/>
      <c r="E29" s="128"/>
      <c r="F29" s="128"/>
      <c r="H29" s="129"/>
      <c r="I29" s="129"/>
      <c r="J29" s="159"/>
      <c r="K29"/>
      <c r="L29"/>
    </row>
    <row r="30" spans="1:13" x14ac:dyDescent="0.25">
      <c r="A30" s="127"/>
      <c r="C30" s="407"/>
      <c r="D30" s="407"/>
      <c r="E30" s="128"/>
      <c r="F30" s="128"/>
      <c r="G30" s="172"/>
      <c r="H30" s="173"/>
      <c r="I30" s="129"/>
      <c r="J30"/>
      <c r="K30"/>
      <c r="L30"/>
    </row>
    <row r="31" spans="1:13" x14ac:dyDescent="0.25">
      <c r="A31" s="127"/>
      <c r="C31" s="405" t="s">
        <v>1486</v>
      </c>
      <c r="D31" s="405"/>
      <c r="E31" s="128"/>
      <c r="F31" s="128"/>
      <c r="G31" s="404" t="s">
        <v>1227</v>
      </c>
      <c r="H31" s="404"/>
      <c r="I31" s="129"/>
      <c r="J31"/>
      <c r="K31"/>
      <c r="L31"/>
    </row>
    <row r="32" spans="1:13" x14ac:dyDescent="0.25">
      <c r="A32" s="127"/>
      <c r="C32" s="406" t="s">
        <v>1487</v>
      </c>
      <c r="D32" s="406"/>
      <c r="E32" s="128"/>
      <c r="F32" s="128"/>
      <c r="G32" s="403" t="s">
        <v>1225</v>
      </c>
      <c r="H32" s="403"/>
      <c r="I32" s="129"/>
      <c r="J32" s="116"/>
      <c r="K32" s="116"/>
      <c r="L32"/>
    </row>
    <row r="33" spans="1:14" ht="30" customHeight="1" x14ac:dyDescent="0.25">
      <c r="G33"/>
      <c r="H33"/>
      <c r="I33"/>
      <c r="J33" s="116"/>
      <c r="K33" s="116"/>
      <c r="L33"/>
    </row>
    <row r="34" spans="1:14" s="130" customFormat="1" x14ac:dyDescent="0.25">
      <c r="A34" s="123"/>
      <c r="B34" s="124"/>
      <c r="C34" s="125"/>
      <c r="D34" s="125"/>
      <c r="E34" s="125"/>
      <c r="F34" s="125"/>
      <c r="G34"/>
      <c r="H34"/>
      <c r="I34"/>
      <c r="K34" s="125"/>
      <c r="L34" s="116"/>
      <c r="M34" s="116"/>
      <c r="N34" s="116"/>
    </row>
    <row r="35" spans="1:14" x14ac:dyDescent="0.25">
      <c r="G35"/>
      <c r="H35"/>
      <c r="I35"/>
    </row>
    <row r="36" spans="1:14" s="130" customFormat="1" x14ac:dyDescent="0.25">
      <c r="A36" s="123"/>
      <c r="B36" s="124"/>
      <c r="C36" s="125"/>
      <c r="D36" s="125"/>
      <c r="E36" s="125"/>
      <c r="F36" s="125"/>
      <c r="G36"/>
      <c r="H36"/>
      <c r="I36"/>
      <c r="K36" s="125"/>
      <c r="L36" s="116"/>
      <c r="M36" s="116"/>
      <c r="N36" s="116"/>
    </row>
    <row r="37" spans="1:14" s="130" customFormat="1" ht="28.5" customHeight="1" x14ac:dyDescent="0.25">
      <c r="A37" s="123"/>
      <c r="B37" s="124">
        <f>420-2+8</f>
        <v>426</v>
      </c>
      <c r="C37" s="125"/>
      <c r="D37" s="125"/>
      <c r="E37" s="125"/>
      <c r="F37" s="125"/>
      <c r="G37" s="174"/>
      <c r="H37" s="126" t="s">
        <v>1837</v>
      </c>
      <c r="I37" s="126">
        <v>21112222.099999998</v>
      </c>
      <c r="K37" s="125"/>
      <c r="L37" s="116"/>
      <c r="M37" s="116"/>
      <c r="N37" s="116"/>
    </row>
    <row r="40" spans="1:14" x14ac:dyDescent="0.25">
      <c r="H40" s="130" t="s">
        <v>1199</v>
      </c>
      <c r="I40" s="130">
        <f>+J11</f>
        <v>0</v>
      </c>
      <c r="K40" s="130"/>
    </row>
    <row r="41" spans="1:14" x14ac:dyDescent="0.25">
      <c r="H41" s="130" t="s">
        <v>1230</v>
      </c>
      <c r="I41" s="130">
        <f>+J17</f>
        <v>0</v>
      </c>
    </row>
    <row r="42" spans="1:14" ht="15.75" thickBot="1" x14ac:dyDescent="0.3">
      <c r="H42" s="130" t="s">
        <v>1198</v>
      </c>
      <c r="I42" s="153">
        <f>+J25</f>
        <v>65000</v>
      </c>
    </row>
    <row r="43" spans="1:14" ht="15.75" thickTop="1" x14ac:dyDescent="0.25"/>
    <row r="44" spans="1:14" x14ac:dyDescent="0.25">
      <c r="I44" s="130">
        <f>+I40+I41-I42</f>
        <v>-65000</v>
      </c>
    </row>
    <row r="46" spans="1:14" s="130" customFormat="1" ht="33" customHeight="1" thickBot="1" x14ac:dyDescent="0.3">
      <c r="A46" s="123"/>
      <c r="B46" s="124"/>
      <c r="C46" s="125"/>
      <c r="D46" s="125"/>
      <c r="E46" s="125"/>
      <c r="F46" s="125"/>
      <c r="G46" s="174"/>
      <c r="H46" s="126" t="s">
        <v>1951</v>
      </c>
      <c r="I46" s="251">
        <f>+'Nómina CAID Fija'!K450</f>
        <v>21047222.099999998</v>
      </c>
      <c r="K46" s="125"/>
      <c r="L46" s="116"/>
      <c r="M46" s="116"/>
      <c r="N46" s="116"/>
    </row>
    <row r="47" spans="1:14" ht="15.75" thickTop="1" x14ac:dyDescent="0.25">
      <c r="H47" s="126"/>
      <c r="I47" s="126"/>
    </row>
    <row r="48" spans="1:14" x14ac:dyDescent="0.25">
      <c r="I48" s="126"/>
    </row>
    <row r="50" spans="8:9" ht="15.75" thickBot="1" x14ac:dyDescent="0.3">
      <c r="H50" s="126"/>
      <c r="I50" s="131">
        <f>+I37+I44</f>
        <v>21047222.099999998</v>
      </c>
    </row>
    <row r="51" spans="8:9" ht="15.75" thickTop="1" x14ac:dyDescent="0.25"/>
  </sheetData>
  <mergeCells count="5">
    <mergeCell ref="G32:H32"/>
    <mergeCell ref="G31:H31"/>
    <mergeCell ref="C31:D31"/>
    <mergeCell ref="C32:D32"/>
    <mergeCell ref="C30:D30"/>
  </mergeCells>
  <phoneticPr fontId="29" type="noConversion"/>
  <printOptions horizontalCentered="1" verticalCentered="1"/>
  <pageMargins left="0.7" right="0.7" top="0.75" bottom="0.75" header="0.3" footer="0.3"/>
  <pageSetup scale="62" orientation="landscape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6CF92-87BF-4040-A63D-4C4116F6F0A7}">
  <dimension ref="A1:Y30"/>
  <sheetViews>
    <sheetView showGridLines="0" workbookViewId="0">
      <pane xSplit="4" ySplit="7" topLeftCell="N8" activePane="bottomRight" state="frozen"/>
      <selection pane="topRight" activeCell="E1" sqref="E1"/>
      <selection pane="bottomLeft" activeCell="A9" sqref="A9"/>
      <selection pane="bottomRight" activeCell="U21" sqref="U21"/>
    </sheetView>
  </sheetViews>
  <sheetFormatPr baseColWidth="10" defaultColWidth="11.42578125" defaultRowHeight="15.75" x14ac:dyDescent="0.25"/>
  <cols>
    <col min="1" max="1" width="1.28515625" style="14" customWidth="1"/>
    <col min="2" max="2" width="10.5703125" style="43" customWidth="1"/>
    <col min="3" max="3" width="22.85546875" style="43" customWidth="1"/>
    <col min="4" max="4" width="40" style="14" customWidth="1"/>
    <col min="5" max="5" width="16.7109375" style="14" customWidth="1"/>
    <col min="6" max="6" width="10.85546875" style="14" customWidth="1"/>
    <col min="7" max="7" width="11.5703125" style="14" customWidth="1"/>
    <col min="8" max="8" width="38.85546875" style="14" customWidth="1"/>
    <col min="9" max="9" width="24" style="14" customWidth="1"/>
    <col min="10" max="10" width="46.85546875" style="14" customWidth="1"/>
    <col min="11" max="11" width="18.140625" style="14" customWidth="1"/>
    <col min="12" max="12" width="16.28515625" style="14" customWidth="1"/>
    <col min="13" max="13" width="17" style="14" customWidth="1"/>
    <col min="14" max="14" width="17.7109375" style="14" customWidth="1"/>
    <col min="15" max="15" width="22.42578125" style="14" customWidth="1"/>
    <col min="16" max="16" width="19.28515625" style="14" customWidth="1"/>
    <col min="17" max="17" width="22.140625" style="50" customWidth="1"/>
    <col min="18" max="19" width="17.7109375" style="14" customWidth="1"/>
    <col min="20" max="20" width="23.85546875" style="14" customWidth="1"/>
    <col min="21" max="21" width="18.140625" style="14" customWidth="1"/>
    <col min="22" max="22" width="22.85546875" style="14" customWidth="1"/>
    <col min="23" max="23" width="26" style="58" customWidth="1"/>
    <col min="24" max="16384" width="11.42578125" style="14"/>
  </cols>
  <sheetData>
    <row r="1" spans="1:25" x14ac:dyDescent="0.25">
      <c r="B1" s="102"/>
      <c r="C1" s="102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R1" s="204"/>
      <c r="S1" s="50" t="s">
        <v>1337</v>
      </c>
      <c r="T1" s="50"/>
      <c r="U1" s="50"/>
    </row>
    <row r="2" spans="1:25" x14ac:dyDescent="0.25">
      <c r="B2" s="102"/>
      <c r="C2" s="10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R2" s="205"/>
      <c r="S2" s="50" t="s">
        <v>1338</v>
      </c>
      <c r="T2" s="50"/>
      <c r="U2" s="50"/>
    </row>
    <row r="3" spans="1:25" x14ac:dyDescent="0.25">
      <c r="B3" s="102"/>
      <c r="C3" s="102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R3" s="206"/>
      <c r="S3" s="50" t="s">
        <v>1198</v>
      </c>
      <c r="T3" s="50"/>
      <c r="U3" s="50"/>
    </row>
    <row r="4" spans="1:25" x14ac:dyDescent="0.25">
      <c r="B4" s="396" t="s">
        <v>44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49"/>
      <c r="W4" s="56"/>
    </row>
    <row r="5" spans="1:25" x14ac:dyDescent="0.25">
      <c r="B5" s="396" t="s">
        <v>1950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49"/>
      <c r="W5" s="56"/>
    </row>
    <row r="6" spans="1:25" ht="9" customHeight="1" thickBot="1" x14ac:dyDescent="0.3"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  <c r="S6" s="104"/>
      <c r="T6" s="103"/>
      <c r="U6" s="103"/>
      <c r="V6" s="15"/>
      <c r="W6" s="57"/>
    </row>
    <row r="7" spans="1:25" s="30" customFormat="1" ht="48" thickBot="1" x14ac:dyDescent="0.3">
      <c r="B7" s="71" t="s">
        <v>9</v>
      </c>
      <c r="C7" s="72" t="s">
        <v>45</v>
      </c>
      <c r="D7" s="73" t="s">
        <v>0</v>
      </c>
      <c r="E7" s="74" t="s">
        <v>46</v>
      </c>
      <c r="F7" s="72" t="s">
        <v>47</v>
      </c>
      <c r="G7" s="74" t="s">
        <v>1194</v>
      </c>
      <c r="H7" s="74" t="s">
        <v>1204</v>
      </c>
      <c r="I7" s="74" t="s">
        <v>1063</v>
      </c>
      <c r="J7" s="74" t="s">
        <v>866</v>
      </c>
      <c r="K7" s="75" t="s">
        <v>8</v>
      </c>
      <c r="L7" s="75" t="s">
        <v>868</v>
      </c>
      <c r="M7" s="75" t="s">
        <v>867</v>
      </c>
      <c r="N7" s="75" t="s">
        <v>1059</v>
      </c>
      <c r="O7" s="75" t="s">
        <v>36</v>
      </c>
      <c r="P7" s="75" t="s">
        <v>1</v>
      </c>
      <c r="Q7" s="75" t="s">
        <v>1038</v>
      </c>
      <c r="R7" s="75" t="s">
        <v>6</v>
      </c>
      <c r="S7" s="75" t="s">
        <v>43</v>
      </c>
      <c r="T7" s="75" t="s">
        <v>4</v>
      </c>
      <c r="U7" s="76" t="s">
        <v>5</v>
      </c>
      <c r="V7" s="76" t="s">
        <v>826</v>
      </c>
      <c r="W7" s="77" t="s">
        <v>825</v>
      </c>
    </row>
    <row r="8" spans="1:25" s="236" customFormat="1" x14ac:dyDescent="0.25">
      <c r="A8" s="232"/>
      <c r="B8" s="302">
        <v>1</v>
      </c>
      <c r="C8" s="295" t="s">
        <v>1047</v>
      </c>
      <c r="D8" s="232" t="s">
        <v>1044</v>
      </c>
      <c r="E8" s="232" t="s">
        <v>85</v>
      </c>
      <c r="F8" s="232" t="s">
        <v>87</v>
      </c>
      <c r="G8" s="295">
        <v>5</v>
      </c>
      <c r="H8" s="296" t="s">
        <v>1210</v>
      </c>
      <c r="I8" s="297" t="s">
        <v>1062</v>
      </c>
      <c r="J8" s="232" t="s">
        <v>1336</v>
      </c>
      <c r="K8" s="233">
        <v>25000</v>
      </c>
      <c r="L8" s="284">
        <f>IF(K8&gt;=Datos!$D$14,(Datos!$D$14*Datos!$C$14),IF(K8&lt;=Datos!$D$14,(K8*Datos!$C$14)))</f>
        <v>717.5</v>
      </c>
      <c r="M8" s="284">
        <f>IF(K8&gt;=Datos!$D$15,(Datos!$D$15*Datos!$C$15),IF(K8&lt;=Datos!$D$15,(K8*Datos!$C$15)))</f>
        <v>760</v>
      </c>
      <c r="N8" s="231"/>
      <c r="O8" s="106">
        <f>K8-(L8+M8+N8)+'Nómina CAID Fija'!O135</f>
        <v>56454</v>
      </c>
      <c r="P8" s="294">
        <f>IF(O8&lt;=Datos!$G$7,"0",IF(O8&lt;=Datos!$G$8,(O8-Datos!$F$8)*Datos!$I$6,IF(O8&lt;=Datos!$G$9,Datos!$I$8+(O8-Datos!$F$9)*Datos!$J$6,IF(O8&gt;=Datos!$F$10,(Datos!$I$8+Datos!$J$8)+(O8-Datos!$F$10)*Datos!$K$6))))-'Nómina CAID Fija'!P135</f>
        <v>3486.6756666666661</v>
      </c>
      <c r="Q8" s="231">
        <f>IFERROR(VLOOKUP(C8,[1]Hoja1!$D$5:$E$58,2,FALSE),0)</f>
        <v>0</v>
      </c>
      <c r="R8" s="234"/>
      <c r="S8" s="234"/>
      <c r="T8" s="234">
        <f t="shared" ref="T8:T13" si="0">+L8+M8+P8</f>
        <v>4964.1756666666661</v>
      </c>
      <c r="U8" s="234">
        <f t="shared" ref="U8:U13" si="1">+K8-T8</f>
        <v>20035.824333333334</v>
      </c>
      <c r="V8" s="234"/>
      <c r="W8" s="298">
        <v>44805</v>
      </c>
    </row>
    <row r="9" spans="1:25" s="236" customFormat="1" x14ac:dyDescent="0.25">
      <c r="A9" s="232"/>
      <c r="B9" s="302">
        <v>2</v>
      </c>
      <c r="C9" s="295" t="s">
        <v>435</v>
      </c>
      <c r="D9" s="232" t="s">
        <v>676</v>
      </c>
      <c r="E9" s="232" t="s">
        <v>86</v>
      </c>
      <c r="F9" s="232" t="s">
        <v>87</v>
      </c>
      <c r="G9" s="295">
        <v>5</v>
      </c>
      <c r="H9" s="296" t="s">
        <v>1210</v>
      </c>
      <c r="I9" s="297" t="s">
        <v>1062</v>
      </c>
      <c r="J9" s="232" t="s">
        <v>1336</v>
      </c>
      <c r="K9" s="233">
        <v>25000</v>
      </c>
      <c r="L9" s="284">
        <f>IF(K9&gt;=Datos!$D$14,(Datos!$D$14*Datos!$C$14),IF(K9&lt;=Datos!$D$14,(K9*Datos!$C$14)))</f>
        <v>717.5</v>
      </c>
      <c r="M9" s="284">
        <f>IF(K9&gt;=Datos!$D$15,(Datos!$D$15*Datos!$C$15),IF(K9&lt;=Datos!$D$15,(K9*Datos!$C$15)))</f>
        <v>760</v>
      </c>
      <c r="N9" s="231"/>
      <c r="O9" s="106">
        <f>K9-(L9+M9+N9)+'Nómina CAID Fija'!O187</f>
        <v>56454</v>
      </c>
      <c r="P9" s="294">
        <f>IF(O9&lt;=Datos!$G$7,"0",IF(O9&lt;=Datos!$G$8,(O9-Datos!$F$8)*Datos!$I$6,IF(O9&lt;=Datos!$G$9,Datos!$I$8+(O9-Datos!$F$9)*Datos!$J$6,IF(O9&gt;=Datos!$F$10,(Datos!$I$8+Datos!$J$8)+(O9-Datos!$F$10)*Datos!$K$6))))-'Nómina CAID Fija'!P187</f>
        <v>3486.6756666666661</v>
      </c>
      <c r="Q9" s="231">
        <f>IFERROR(VLOOKUP(C9,[1]Hoja1!$D$5:$E$58,2,FALSE),0)</f>
        <v>0</v>
      </c>
      <c r="R9" s="234"/>
      <c r="S9" s="234"/>
      <c r="T9" s="234">
        <f t="shared" si="0"/>
        <v>4964.1756666666661</v>
      </c>
      <c r="U9" s="234">
        <f t="shared" si="1"/>
        <v>20035.824333333334</v>
      </c>
      <c r="V9" s="296" t="s">
        <v>196</v>
      </c>
      <c r="W9" s="298">
        <v>44470</v>
      </c>
      <c r="X9" s="235"/>
      <c r="Y9" s="264"/>
    </row>
    <row r="10" spans="1:25" s="236" customFormat="1" x14ac:dyDescent="0.25">
      <c r="A10" s="232"/>
      <c r="B10" s="302">
        <v>3</v>
      </c>
      <c r="C10" s="295" t="s">
        <v>459</v>
      </c>
      <c r="D10" s="232" t="s">
        <v>700</v>
      </c>
      <c r="E10" s="232" t="s">
        <v>85</v>
      </c>
      <c r="F10" s="232" t="s">
        <v>87</v>
      </c>
      <c r="G10" s="295">
        <v>4</v>
      </c>
      <c r="H10" s="296" t="s">
        <v>1209</v>
      </c>
      <c r="I10" s="297" t="s">
        <v>1062</v>
      </c>
      <c r="J10" s="232" t="s">
        <v>1870</v>
      </c>
      <c r="K10" s="233">
        <v>30000</v>
      </c>
      <c r="L10" s="284">
        <f>IF(K10&gt;=Datos!$D$14,(Datos!$D$14*Datos!$C$14),IF(K10&lt;=Datos!$D$14,(K10*Datos!$C$14)))</f>
        <v>861</v>
      </c>
      <c r="M10" s="284">
        <f>IF(K10&gt;=Datos!$D$15,(Datos!$D$15*Datos!$C$15),IF(K10&lt;=Datos!$D$15,(K10*Datos!$C$15)))</f>
        <v>912</v>
      </c>
      <c r="N10" s="231"/>
      <c r="O10" s="106">
        <f>K10-(L10+M10+N10)+'Nómina CAID Fija'!O225</f>
        <v>84681</v>
      </c>
      <c r="P10" s="294">
        <f>IF(O10&lt;=Datos!$G$7,"0",IF(O10&lt;=Datos!$G$8,(O10-Datos!$F$8)*Datos!$I$6,IF(O10&lt;=Datos!$G$9,Datos!$I$8+(O10-Datos!$F$9)*Datos!$J$6,IF(O10&gt;=Datos!$F$10,(Datos!$I$8+Datos!$J$8)+(O10-Datos!$F$10)*Datos!$K$6))))-'Nómina CAID Fija'!P225</f>
        <v>6266.4350000000013</v>
      </c>
      <c r="Q10" s="231">
        <f>IFERROR(VLOOKUP(C10,[1]Hoja1!$D$5:$E$58,2,FALSE),0)</f>
        <v>0</v>
      </c>
      <c r="R10" s="234"/>
      <c r="S10" s="234"/>
      <c r="T10" s="234">
        <f t="shared" si="0"/>
        <v>8039.4350000000013</v>
      </c>
      <c r="U10" s="234">
        <f t="shared" si="1"/>
        <v>21960.564999999999</v>
      </c>
      <c r="V10" s="296" t="s">
        <v>220</v>
      </c>
      <c r="W10" s="298">
        <v>44470</v>
      </c>
      <c r="X10" s="235"/>
      <c r="Y10" s="264"/>
    </row>
    <row r="11" spans="1:25" s="236" customFormat="1" x14ac:dyDescent="0.25">
      <c r="A11" s="232"/>
      <c r="B11" s="302">
        <v>4</v>
      </c>
      <c r="C11" s="295" t="s">
        <v>873</v>
      </c>
      <c r="D11" s="232" t="s">
        <v>872</v>
      </c>
      <c r="E11" s="232" t="s">
        <v>85</v>
      </c>
      <c r="F11" s="232" t="s">
        <v>87</v>
      </c>
      <c r="G11" s="295">
        <v>6</v>
      </c>
      <c r="H11" s="296" t="s">
        <v>1216</v>
      </c>
      <c r="I11" s="297" t="s">
        <v>1062</v>
      </c>
      <c r="J11" s="232" t="s">
        <v>972</v>
      </c>
      <c r="K11" s="233">
        <v>25000</v>
      </c>
      <c r="L11" s="284">
        <f>IF(K11&gt;=Datos!$D$14,(Datos!$D$14*Datos!$C$14),IF(K11&lt;=Datos!$D$14,(K11*Datos!$C$14)))</f>
        <v>717.5</v>
      </c>
      <c r="M11" s="284">
        <f>IF(K11&gt;=Datos!$D$15,(Datos!$D$15*Datos!$C$15),IF(K11&lt;=Datos!$D$15,(K11*Datos!$C$15)))</f>
        <v>760</v>
      </c>
      <c r="N11" s="231"/>
      <c r="O11" s="106">
        <f>K11-(L11+M11+N11)+'Nómina CAID Fija'!O268</f>
        <v>56454</v>
      </c>
      <c r="P11" s="294">
        <f>IF(O11&lt;=Datos!$G$7,"0",IF(O11&lt;=Datos!$G$8,(O11-Datos!$F$8)*Datos!$I$6,IF(O11&lt;=Datos!$G$9,Datos!$I$8+(O11-Datos!$F$9)*Datos!$J$6,IF(O11&gt;=Datos!$F$10,(Datos!$I$8+Datos!$J$8)+(O11-Datos!$F$10)*Datos!$K$6))))-'Nómina CAID Fija'!P268</f>
        <v>3486.6756666666661</v>
      </c>
      <c r="Q11" s="231">
        <f>IFERROR(VLOOKUP(C11,[1]Hoja1!$D$5:$E$58,2,FALSE),0)</f>
        <v>0</v>
      </c>
      <c r="R11" s="234"/>
      <c r="S11" s="234"/>
      <c r="T11" s="234">
        <f t="shared" si="0"/>
        <v>4964.1756666666661</v>
      </c>
      <c r="U11" s="234">
        <f t="shared" si="1"/>
        <v>20035.824333333334</v>
      </c>
      <c r="V11" s="296" t="s">
        <v>884</v>
      </c>
      <c r="W11" s="298">
        <v>44544</v>
      </c>
      <c r="X11" s="235"/>
      <c r="Y11" s="264"/>
    </row>
    <row r="12" spans="1:25" s="236" customFormat="1" ht="19.5" customHeight="1" x14ac:dyDescent="0.25">
      <c r="A12" s="232"/>
      <c r="B12" s="302">
        <v>5</v>
      </c>
      <c r="C12" s="295" t="s">
        <v>951</v>
      </c>
      <c r="D12" s="232" t="s">
        <v>952</v>
      </c>
      <c r="E12" s="232" t="s">
        <v>85</v>
      </c>
      <c r="F12" s="232" t="s">
        <v>87</v>
      </c>
      <c r="G12" s="295">
        <v>4</v>
      </c>
      <c r="H12" s="296" t="s">
        <v>1206</v>
      </c>
      <c r="I12" s="297" t="s">
        <v>1062</v>
      </c>
      <c r="J12" s="232" t="s">
        <v>1588</v>
      </c>
      <c r="K12" s="233">
        <v>25000</v>
      </c>
      <c r="L12" s="284">
        <f>IF(K12&gt;=Datos!$D$14,(Datos!$D$14*Datos!$C$14),IF(K12&lt;=Datos!$D$14,(K12*Datos!$C$14)))</f>
        <v>717.5</v>
      </c>
      <c r="M12" s="284">
        <f>IF(K12&gt;=Datos!$D$15,(Datos!$D$15*Datos!$C$15),IF(K12&lt;=Datos!$D$15,(K12*Datos!$C$15)))</f>
        <v>760</v>
      </c>
      <c r="N12" s="231"/>
      <c r="O12" s="106">
        <f>K12-(L12+M12+N12)+'Nómina CAID Fija'!O314</f>
        <v>54738.54</v>
      </c>
      <c r="P12" s="294">
        <f>IF(O12&lt;=Datos!$G$7,"0",IF(O12&lt;=Datos!$G$8,(O12-Datos!$F$8)*Datos!$I$6,IF(O12&lt;=Datos!$G$9,Datos!$I$8+(O12-Datos!$F$9)*Datos!$J$6,IF(O12&gt;=Datos!$F$10,(Datos!$I$8+Datos!$J$8)+(O12-Datos!$F$10)*Datos!$K$6))))-'Nómina CAID Fija'!P314</f>
        <v>3143.5836666666664</v>
      </c>
      <c r="Q12" s="231">
        <f>IFERROR(VLOOKUP(C12,[1]Hoja1!$D$5:$E$58,2,FALSE),0)</f>
        <v>0</v>
      </c>
      <c r="R12" s="234"/>
      <c r="S12" s="234"/>
      <c r="T12" s="234">
        <f t="shared" si="0"/>
        <v>4621.0836666666664</v>
      </c>
      <c r="U12" s="234">
        <f t="shared" si="1"/>
        <v>20378.916333333334</v>
      </c>
      <c r="V12" s="234"/>
      <c r="W12" s="298">
        <v>44682</v>
      </c>
      <c r="X12" s="235"/>
      <c r="Y12" s="264"/>
    </row>
    <row r="13" spans="1:25" s="236" customFormat="1" x14ac:dyDescent="0.25">
      <c r="A13" s="232"/>
      <c r="B13" s="302">
        <v>6</v>
      </c>
      <c r="C13" s="295" t="s">
        <v>1048</v>
      </c>
      <c r="D13" s="232" t="s">
        <v>1045</v>
      </c>
      <c r="E13" s="232" t="s">
        <v>85</v>
      </c>
      <c r="F13" s="232" t="s">
        <v>87</v>
      </c>
      <c r="G13" s="295">
        <v>5</v>
      </c>
      <c r="H13" s="296" t="s">
        <v>1210</v>
      </c>
      <c r="I13" s="297" t="s">
        <v>1062</v>
      </c>
      <c r="J13" s="232" t="s">
        <v>1336</v>
      </c>
      <c r="K13" s="233">
        <v>25000</v>
      </c>
      <c r="L13" s="284">
        <f>IF(K13&gt;=Datos!$D$14,(Datos!$D$14*Datos!$C$14),IF(K13&lt;=Datos!$D$14,(K13*Datos!$C$14)))</f>
        <v>717.5</v>
      </c>
      <c r="M13" s="284">
        <f>IF(K13&gt;=Datos!$D$15,(Datos!$D$15*Datos!$C$15),IF(K13&lt;=Datos!$D$15,(K13*Datos!$C$15)))</f>
        <v>760</v>
      </c>
      <c r="N13" s="231"/>
      <c r="O13" s="106">
        <f>K13-(L13+M13+N13)+'Nómina CAID Fija'!O341</f>
        <v>56454</v>
      </c>
      <c r="P13" s="294">
        <f>IF(O13&lt;=Datos!$G$7,"0",IF(O13&lt;=Datos!$G$8,(O13-Datos!$F$8)*Datos!$I$6,IF(O13&lt;=Datos!$G$9,Datos!$I$8+(O13-Datos!$F$9)*Datos!$J$6,IF(O13&gt;=Datos!$F$10,(Datos!$I$8+Datos!$J$8)+(O13-Datos!$F$10)*Datos!$K$6))))-'Nómina CAID Fija'!P341</f>
        <v>3486.6756666666661</v>
      </c>
      <c r="Q13" s="231">
        <f>IFERROR(VLOOKUP(C13,[1]Hoja1!$D$5:$E$58,2,FALSE),0)</f>
        <v>0</v>
      </c>
      <c r="R13" s="234"/>
      <c r="S13" s="234"/>
      <c r="T13" s="234">
        <f t="shared" si="0"/>
        <v>4964.1756666666661</v>
      </c>
      <c r="U13" s="234">
        <f t="shared" si="1"/>
        <v>20035.824333333334</v>
      </c>
      <c r="V13" s="296" t="s">
        <v>885</v>
      </c>
      <c r="W13" s="298">
        <v>44805</v>
      </c>
      <c r="X13" s="235"/>
      <c r="Y13" s="264"/>
    </row>
    <row r="14" spans="1:25" ht="16.5" thickBot="1" x14ac:dyDescent="0.3">
      <c r="D14" s="50"/>
      <c r="E14" s="50"/>
      <c r="F14" s="50"/>
      <c r="G14" s="50"/>
      <c r="H14" s="50"/>
      <c r="I14" s="50"/>
      <c r="J14" s="50"/>
      <c r="K14" s="51"/>
      <c r="L14" s="52"/>
      <c r="M14" s="53"/>
      <c r="N14" s="54"/>
      <c r="O14" s="54"/>
      <c r="P14" s="55"/>
      <c r="Q14" s="105">
        <v>0</v>
      </c>
      <c r="R14" s="54"/>
      <c r="S14" s="54"/>
      <c r="T14" s="54"/>
      <c r="U14" s="51"/>
    </row>
    <row r="15" spans="1:25" ht="16.5" thickBot="1" x14ac:dyDescent="0.3">
      <c r="B15" s="397" t="s">
        <v>41</v>
      </c>
      <c r="C15" s="398"/>
      <c r="D15" s="398"/>
      <c r="E15" s="399"/>
      <c r="F15" s="101"/>
      <c r="G15" s="101"/>
      <c r="H15" s="101"/>
      <c r="I15" s="101"/>
      <c r="J15" s="101"/>
      <c r="K15" s="69">
        <f>SUM(K8:K14)</f>
        <v>155000</v>
      </c>
      <c r="L15" s="69">
        <f t="shared" ref="L15:U15" si="2">SUM(L8:L14)</f>
        <v>4448.5</v>
      </c>
      <c r="M15" s="69">
        <f t="shared" si="2"/>
        <v>4712</v>
      </c>
      <c r="N15" s="69">
        <f t="shared" si="2"/>
        <v>0</v>
      </c>
      <c r="O15" s="69">
        <f t="shared" si="2"/>
        <v>365235.54</v>
      </c>
      <c r="P15" s="69">
        <f t="shared" si="2"/>
        <v>23356.721333333331</v>
      </c>
      <c r="Q15" s="69">
        <f t="shared" si="2"/>
        <v>0</v>
      </c>
      <c r="R15" s="69">
        <f t="shared" si="2"/>
        <v>0</v>
      </c>
      <c r="S15" s="69">
        <f t="shared" si="2"/>
        <v>0</v>
      </c>
      <c r="T15" s="69">
        <f t="shared" si="2"/>
        <v>32517.221333333331</v>
      </c>
      <c r="U15" s="69">
        <f t="shared" si="2"/>
        <v>122482.77866666667</v>
      </c>
    </row>
    <row r="16" spans="1:25" ht="16.5" thickBot="1" x14ac:dyDescent="0.3"/>
    <row r="17" spans="2:21" ht="16.5" thickBot="1" x14ac:dyDescent="0.3">
      <c r="B17" s="400" t="s">
        <v>869</v>
      </c>
      <c r="C17" s="401"/>
      <c r="D17" s="401"/>
      <c r="E17" s="402"/>
      <c r="F17" s="94"/>
      <c r="G17" s="94"/>
      <c r="H17" s="94"/>
      <c r="I17" s="94"/>
      <c r="J17" s="94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</row>
    <row r="18" spans="2:21" customFormat="1" ht="15" x14ac:dyDescent="0.25"/>
    <row r="19" spans="2:21" customFormat="1" ht="15" x14ac:dyDescent="0.25"/>
    <row r="20" spans="2:21" customFormat="1" ht="15" x14ac:dyDescent="0.25"/>
    <row r="21" spans="2:21" customFormat="1" ht="15" x14ac:dyDescent="0.25"/>
    <row r="22" spans="2:21" customFormat="1" ht="15" x14ac:dyDescent="0.25"/>
    <row r="23" spans="2:21" customFormat="1" ht="15" x14ac:dyDescent="0.25"/>
    <row r="24" spans="2:21" customFormat="1" ht="19.5" customHeight="1" x14ac:dyDescent="0.25"/>
    <row r="25" spans="2:21" customFormat="1" ht="15" x14ac:dyDescent="0.25"/>
    <row r="26" spans="2:21" customFormat="1" ht="15" x14ac:dyDescent="0.25"/>
    <row r="27" spans="2:21" customFormat="1" ht="15" x14ac:dyDescent="0.25"/>
    <row r="28" spans="2:21" customFormat="1" ht="15" x14ac:dyDescent="0.25"/>
    <row r="29" spans="2:21" customFormat="1" ht="15" x14ac:dyDescent="0.25"/>
    <row r="30" spans="2:21" customFormat="1" ht="15" x14ac:dyDescent="0.25"/>
  </sheetData>
  <mergeCells count="4">
    <mergeCell ref="B4:U4"/>
    <mergeCell ref="B5:U5"/>
    <mergeCell ref="B15:E15"/>
    <mergeCell ref="B17:E17"/>
  </mergeCells>
  <pageMargins left="0.70866141732283505" right="0.70866141732283505" top="0.74803149606299202" bottom="0.74803149606299202" header="0.31496062992126" footer="0.31496062992126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438C-86AB-468C-9130-FF263DEFF844}">
  <sheetPr>
    <pageSetUpPr fitToPage="1"/>
  </sheetPr>
  <dimension ref="A7:M46"/>
  <sheetViews>
    <sheetView showGridLines="0" zoomScale="84" zoomScaleNormal="84" zoomScaleSheetLayoutView="100" workbookViewId="0">
      <selection activeCell="H50" sqref="H50"/>
    </sheetView>
  </sheetViews>
  <sheetFormatPr baseColWidth="10" defaultColWidth="11.42578125" defaultRowHeight="15" x14ac:dyDescent="0.25"/>
  <cols>
    <col min="1" max="1" width="6.140625" style="123" customWidth="1"/>
    <col min="2" max="2" width="16.42578125" style="124" customWidth="1"/>
    <col min="3" max="3" width="29.28515625" style="125" customWidth="1"/>
    <col min="4" max="4" width="13.28515625" style="125" bestFit="1" customWidth="1"/>
    <col min="5" max="5" width="23" style="125" customWidth="1"/>
    <col min="6" max="6" width="29.28515625" style="125" customWidth="1"/>
    <col min="7" max="9" width="22" style="130" customWidth="1"/>
    <col min="10" max="10" width="23.140625" style="125" customWidth="1"/>
    <col min="11" max="11" width="14.7109375" style="116" customWidth="1"/>
    <col min="12" max="12" width="11.42578125" style="116"/>
    <col min="13" max="13" width="12.28515625" style="116" bestFit="1" customWidth="1"/>
    <col min="14" max="16384" width="11.42578125" style="116"/>
  </cols>
  <sheetData>
    <row r="7" spans="1:13" x14ac:dyDescent="0.25">
      <c r="G7" s="126"/>
      <c r="H7" s="126"/>
      <c r="I7" s="126"/>
    </row>
    <row r="8" spans="1:13" x14ac:dyDescent="0.25">
      <c r="G8" s="126"/>
      <c r="H8" s="126"/>
      <c r="I8" s="126"/>
    </row>
    <row r="9" spans="1:13" x14ac:dyDescent="0.25">
      <c r="A9" s="137" t="s">
        <v>1955</v>
      </c>
      <c r="B9" s="138"/>
      <c r="C9" s="138"/>
      <c r="D9" s="138"/>
      <c r="E9" s="138"/>
      <c r="F9" s="138"/>
      <c r="G9" s="138"/>
      <c r="H9" s="138"/>
      <c r="I9" s="138"/>
      <c r="J9" s="138"/>
      <c r="K9"/>
    </row>
    <row r="10" spans="1:13" x14ac:dyDescent="0.25">
      <c r="A10" s="116" t="s">
        <v>1302</v>
      </c>
      <c r="B10" s="116" t="s">
        <v>1303</v>
      </c>
      <c r="C10" s="116"/>
      <c r="D10" s="116"/>
      <c r="E10" s="116"/>
      <c r="F10" s="116"/>
      <c r="G10" s="116"/>
      <c r="H10" s="116"/>
      <c r="I10" s="116"/>
      <c r="J10" s="116"/>
    </row>
    <row r="11" spans="1:13" s="118" customFormat="1" ht="30" x14ac:dyDescent="0.25">
      <c r="A11" s="97" t="s">
        <v>1166</v>
      </c>
      <c r="B11" s="97" t="s">
        <v>1167</v>
      </c>
      <c r="C11" s="97" t="s">
        <v>1168</v>
      </c>
      <c r="D11" s="97" t="s">
        <v>1169</v>
      </c>
      <c r="E11" s="97" t="s">
        <v>1197</v>
      </c>
      <c r="F11" s="97" t="s">
        <v>1170</v>
      </c>
      <c r="G11" s="97" t="s">
        <v>1171</v>
      </c>
      <c r="H11" s="117" t="s">
        <v>1190</v>
      </c>
      <c r="I11" s="117" t="s">
        <v>1172</v>
      </c>
      <c r="J11" s="117" t="s">
        <v>1173</v>
      </c>
      <c r="K11"/>
    </row>
    <row r="12" spans="1:13" x14ac:dyDescent="0.25">
      <c r="A12" s="119"/>
      <c r="B12" s="108"/>
      <c r="C12" s="181"/>
      <c r="D12" s="121"/>
      <c r="E12" s="121"/>
      <c r="F12" s="192"/>
      <c r="G12" s="121"/>
      <c r="H12" s="303"/>
      <c r="I12" s="122"/>
      <c r="J12" s="122"/>
      <c r="K12"/>
    </row>
    <row r="13" spans="1:13" customFormat="1" x14ac:dyDescent="0.25">
      <c r="I13" s="152">
        <f>SUM(I12:I12)</f>
        <v>0</v>
      </c>
      <c r="J13" s="152">
        <f>SUM(J12:J12)</f>
        <v>0</v>
      </c>
    </row>
    <row r="14" spans="1:13" x14ac:dyDescent="0.25">
      <c r="A14" s="112" t="s">
        <v>1956</v>
      </c>
      <c r="B14" s="113"/>
      <c r="C14" s="114"/>
      <c r="D14" s="114"/>
      <c r="E14" s="114"/>
      <c r="F14" s="114"/>
      <c r="G14" s="115"/>
      <c r="H14" s="115"/>
      <c r="I14" s="115"/>
      <c r="J14" s="114"/>
      <c r="K14" s="115"/>
    </row>
    <row r="15" spans="1:13" x14ac:dyDescent="0.25">
      <c r="A15" s="116" t="s">
        <v>1165</v>
      </c>
      <c r="B15" s="116"/>
      <c r="C15" s="116"/>
      <c r="D15" s="116"/>
      <c r="E15" s="116"/>
      <c r="F15" s="116"/>
      <c r="G15" s="116"/>
      <c r="H15" s="116"/>
      <c r="I15" s="116"/>
      <c r="J15" s="116"/>
      <c r="M15" s="116" t="s">
        <v>1585</v>
      </c>
    </row>
    <row r="16" spans="1:13" s="118" customFormat="1" ht="45" x14ac:dyDescent="0.25">
      <c r="A16" s="97" t="s">
        <v>1166</v>
      </c>
      <c r="B16" s="97" t="s">
        <v>1167</v>
      </c>
      <c r="C16" s="97" t="s">
        <v>1168</v>
      </c>
      <c r="D16" s="97" t="s">
        <v>1169</v>
      </c>
      <c r="E16" s="97" t="s">
        <v>1197</v>
      </c>
      <c r="F16" s="97" t="s">
        <v>1170</v>
      </c>
      <c r="G16" s="97" t="s">
        <v>1171</v>
      </c>
      <c r="H16" s="117" t="s">
        <v>1470</v>
      </c>
      <c r="I16" s="117" t="s">
        <v>1185</v>
      </c>
      <c r="J16" s="117" t="s">
        <v>1186</v>
      </c>
      <c r="K16" s="97" t="s">
        <v>1174</v>
      </c>
      <c r="L16" s="240" t="s">
        <v>1175</v>
      </c>
    </row>
    <row r="17" spans="1:13" s="253" customFormat="1" x14ac:dyDescent="0.25">
      <c r="A17" s="252"/>
      <c r="B17" s="224"/>
      <c r="C17" s="224"/>
      <c r="D17" s="224"/>
      <c r="E17" s="224"/>
      <c r="F17" s="224"/>
      <c r="G17" s="224"/>
      <c r="H17" s="218"/>
      <c r="I17" s="218"/>
      <c r="J17" s="218"/>
      <c r="K17" s="224"/>
      <c r="L17" s="254"/>
      <c r="M17" s="281"/>
    </row>
    <row r="18" spans="1:13" ht="15.75" x14ac:dyDescent="0.25">
      <c r="A18" s="127"/>
      <c r="D18" s="128"/>
      <c r="E18" s="128"/>
      <c r="G18" s="129"/>
      <c r="H18" s="129"/>
      <c r="I18" s="139"/>
      <c r="J18" s="139">
        <f>SUM(J17:J17)</f>
        <v>0</v>
      </c>
      <c r="K18"/>
    </row>
    <row r="19" spans="1:13" x14ac:dyDescent="0.25">
      <c r="A19" s="127"/>
      <c r="D19" s="128"/>
      <c r="E19" s="128"/>
      <c r="G19" s="129"/>
      <c r="H19" s="129"/>
      <c r="I19"/>
      <c r="J19"/>
      <c r="K19"/>
    </row>
    <row r="20" spans="1:13" x14ac:dyDescent="0.25">
      <c r="A20" s="112" t="s">
        <v>1957</v>
      </c>
      <c r="B20" s="113"/>
      <c r="C20" s="114"/>
      <c r="D20" s="114"/>
      <c r="E20" s="114"/>
      <c r="F20" s="114"/>
      <c r="G20" s="114"/>
      <c r="H20" s="115"/>
      <c r="I20" s="115"/>
      <c r="J20"/>
      <c r="K20"/>
    </row>
    <row r="21" spans="1:13" x14ac:dyDescent="0.25">
      <c r="A21" s="116" t="s">
        <v>1302</v>
      </c>
      <c r="B21" s="116" t="s">
        <v>1303</v>
      </c>
      <c r="C21" s="116"/>
      <c r="D21" s="116"/>
      <c r="E21" s="116"/>
      <c r="F21" s="116"/>
      <c r="G21" s="116"/>
      <c r="H21" s="116"/>
      <c r="I21" s="116"/>
      <c r="J21" s="116"/>
    </row>
    <row r="22" spans="1:13" ht="30" x14ac:dyDescent="0.25">
      <c r="A22" s="97" t="s">
        <v>1166</v>
      </c>
      <c r="B22" s="97" t="s">
        <v>1167</v>
      </c>
      <c r="C22" s="97" t="s">
        <v>1168</v>
      </c>
      <c r="D22" s="97" t="s">
        <v>1169</v>
      </c>
      <c r="E22" s="97" t="s">
        <v>1197</v>
      </c>
      <c r="F22" s="97" t="s">
        <v>1170</v>
      </c>
      <c r="G22" s="97" t="s">
        <v>1171</v>
      </c>
      <c r="H22" s="117" t="s">
        <v>1174</v>
      </c>
      <c r="I22" s="117" t="s">
        <v>1172</v>
      </c>
      <c r="J22"/>
      <c r="K22"/>
    </row>
    <row r="23" spans="1:13" x14ac:dyDescent="0.25">
      <c r="A23" s="119">
        <v>1</v>
      </c>
      <c r="B23" s="108"/>
      <c r="C23" s="120"/>
      <c r="D23" s="121"/>
      <c r="E23" s="121"/>
      <c r="F23" s="121"/>
      <c r="G23" s="120"/>
      <c r="H23" s="132"/>
      <c r="I23" s="122"/>
      <c r="J23"/>
      <c r="K23"/>
    </row>
    <row r="24" spans="1:13" customFormat="1" x14ac:dyDescent="0.25"/>
    <row r="25" spans="1:13" customFormat="1" x14ac:dyDescent="0.25">
      <c r="I25" s="152">
        <f>SUM(I23:I24)</f>
        <v>0</v>
      </c>
    </row>
    <row r="26" spans="1:13" x14ac:dyDescent="0.25">
      <c r="A26" s="127"/>
      <c r="D26" s="128"/>
      <c r="E26" s="128"/>
      <c r="F26" s="128"/>
      <c r="G26" s="125"/>
      <c r="H26" s="129"/>
      <c r="I26" s="151"/>
      <c r="J26"/>
      <c r="K26"/>
    </row>
    <row r="27" spans="1:13" x14ac:dyDescent="0.25">
      <c r="A27" s="127"/>
      <c r="D27" s="128"/>
      <c r="E27" s="128"/>
      <c r="F27" s="128"/>
      <c r="G27" s="125"/>
      <c r="H27" s="129"/>
      <c r="I27" s="129"/>
      <c r="J27"/>
      <c r="K27"/>
    </row>
    <row r="28" spans="1:13" x14ac:dyDescent="0.25">
      <c r="A28" s="127"/>
      <c r="C28" s="407"/>
      <c r="D28" s="407"/>
      <c r="E28" s="128"/>
      <c r="F28" s="128"/>
      <c r="G28" s="125"/>
      <c r="H28" s="129"/>
      <c r="I28" s="129"/>
      <c r="J28" s="403"/>
      <c r="K28" s="403"/>
    </row>
    <row r="29" spans="1:13" x14ac:dyDescent="0.25">
      <c r="A29" s="127"/>
      <c r="C29" s="405" t="s">
        <v>1486</v>
      </c>
      <c r="D29" s="405"/>
      <c r="E29" s="128"/>
      <c r="F29" s="128"/>
      <c r="G29" s="404" t="s">
        <v>1227</v>
      </c>
      <c r="H29" s="404"/>
      <c r="I29" s="129"/>
      <c r="J29" s="116"/>
    </row>
    <row r="30" spans="1:13" x14ac:dyDescent="0.25">
      <c r="A30" s="127"/>
      <c r="C30" s="406" t="s">
        <v>1487</v>
      </c>
      <c r="D30" s="406"/>
      <c r="E30" s="128"/>
      <c r="F30" s="128"/>
      <c r="G30" s="403" t="s">
        <v>1225</v>
      </c>
      <c r="H30" s="403"/>
      <c r="I30" s="129"/>
      <c r="J30" s="116"/>
    </row>
    <row r="31" spans="1:13" x14ac:dyDescent="0.25">
      <c r="A31" s="127"/>
      <c r="C31" s="123"/>
      <c r="D31" s="123"/>
      <c r="E31" s="128"/>
      <c r="F31" s="128"/>
      <c r="G31" s="128"/>
      <c r="H31" s="128"/>
      <c r="I31" s="129"/>
      <c r="J31" s="116"/>
    </row>
    <row r="32" spans="1:13" x14ac:dyDescent="0.25">
      <c r="A32" s="127"/>
      <c r="C32" s="123"/>
      <c r="D32" s="123"/>
      <c r="E32" s="128"/>
      <c r="F32" s="128"/>
      <c r="G32" s="128"/>
      <c r="H32" s="128"/>
      <c r="I32" s="129"/>
      <c r="J32" s="116"/>
    </row>
    <row r="33" spans="1:13" x14ac:dyDescent="0.25">
      <c r="A33" s="127"/>
      <c r="D33" s="128"/>
      <c r="E33" s="128"/>
      <c r="G33" s="129"/>
      <c r="H33" s="129"/>
      <c r="I33"/>
      <c r="J33"/>
      <c r="K33"/>
    </row>
    <row r="34" spans="1:13" x14ac:dyDescent="0.25">
      <c r="A34" s="127"/>
      <c r="D34" s="128"/>
      <c r="E34" s="128"/>
      <c r="G34" s="129"/>
      <c r="H34" s="129"/>
      <c r="I34"/>
      <c r="J34"/>
      <c r="K34"/>
    </row>
    <row r="35" spans="1:13" x14ac:dyDescent="0.25">
      <c r="A35" s="127"/>
      <c r="D35" s="128"/>
      <c r="E35" s="128"/>
      <c r="G35" s="129"/>
      <c r="H35" s="129"/>
      <c r="I35"/>
      <c r="J35"/>
      <c r="K35"/>
    </row>
    <row r="36" spans="1:13" s="130" customFormat="1" ht="30" x14ac:dyDescent="0.25">
      <c r="A36" s="123"/>
      <c r="B36" s="124"/>
      <c r="C36" s="125"/>
      <c r="D36" s="125"/>
      <c r="E36" s="125"/>
      <c r="F36" s="125"/>
      <c r="G36" s="126" t="s">
        <v>1837</v>
      </c>
      <c r="H36" s="126">
        <v>155000</v>
      </c>
      <c r="J36" s="125"/>
      <c r="K36" s="116"/>
      <c r="L36" s="116"/>
      <c r="M36" s="116"/>
    </row>
    <row r="38" spans="1:13" x14ac:dyDescent="0.25">
      <c r="H38" s="130">
        <v>0</v>
      </c>
    </row>
    <row r="39" spans="1:13" x14ac:dyDescent="0.25">
      <c r="G39" s="130" t="s">
        <v>1199</v>
      </c>
      <c r="H39" s="130">
        <f>+J18</f>
        <v>0</v>
      </c>
    </row>
    <row r="40" spans="1:13" s="130" customFormat="1" ht="15.75" thickBot="1" x14ac:dyDescent="0.3">
      <c r="A40" s="123"/>
      <c r="B40" s="124"/>
      <c r="C40" s="125"/>
      <c r="D40" s="125"/>
      <c r="E40" s="125"/>
      <c r="F40" s="125"/>
      <c r="G40" s="130" t="s">
        <v>1230</v>
      </c>
      <c r="H40" s="153">
        <f>-I25</f>
        <v>0</v>
      </c>
      <c r="J40" s="125"/>
      <c r="K40" s="116"/>
      <c r="L40" s="116"/>
      <c r="M40" s="116"/>
    </row>
    <row r="41" spans="1:13" s="130" customFormat="1" ht="15.75" thickTop="1" x14ac:dyDescent="0.25">
      <c r="A41" s="123"/>
      <c r="B41" s="124"/>
      <c r="C41" s="125"/>
      <c r="D41" s="125"/>
      <c r="E41" s="125"/>
      <c r="F41" s="125"/>
      <c r="G41" s="130" t="s">
        <v>1198</v>
      </c>
      <c r="H41" s="130">
        <f>SUM(H38:H40)</f>
        <v>0</v>
      </c>
      <c r="J41" s="125"/>
      <c r="K41" s="116"/>
      <c r="L41" s="116"/>
      <c r="M41" s="116"/>
    </row>
    <row r="43" spans="1:13" ht="15.75" thickBot="1" x14ac:dyDescent="0.3">
      <c r="G43" s="126" t="s">
        <v>1951</v>
      </c>
      <c r="H43" s="251">
        <f>+'Nómina Interinato'!K15</f>
        <v>155000</v>
      </c>
    </row>
    <row r="44" spans="1:13" ht="15.75" thickTop="1" x14ac:dyDescent="0.25"/>
    <row r="45" spans="1:13" ht="15.75" thickBot="1" x14ac:dyDescent="0.3">
      <c r="H45" s="131">
        <f>+H36-H41</f>
        <v>155000</v>
      </c>
    </row>
    <row r="46" spans="1:13" ht="15.75" thickTop="1" x14ac:dyDescent="0.25"/>
  </sheetData>
  <mergeCells count="6">
    <mergeCell ref="C28:D28"/>
    <mergeCell ref="J28:K28"/>
    <mergeCell ref="C29:D29"/>
    <mergeCell ref="G29:H29"/>
    <mergeCell ref="C30:D30"/>
    <mergeCell ref="G30:H30"/>
  </mergeCells>
  <printOptions horizontalCentered="1" verticalCentered="1"/>
  <pageMargins left="1.5" right="0.5" top="0.25" bottom="1.5" header="0" footer="0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6"/>
  <sheetViews>
    <sheetView showGridLines="0" workbookViewId="0">
      <pane xSplit="4" ySplit="7" topLeftCell="N8" activePane="bottomRight" state="frozen"/>
      <selection pane="topRight" activeCell="E1" sqref="E1"/>
      <selection pane="bottomLeft" activeCell="A9" sqref="A9"/>
      <selection pane="bottomRight" activeCell="B5" sqref="B5:U5"/>
    </sheetView>
  </sheetViews>
  <sheetFormatPr baseColWidth="10" defaultColWidth="11.42578125" defaultRowHeight="15.75" x14ac:dyDescent="0.25"/>
  <cols>
    <col min="1" max="1" width="1.28515625" style="14" customWidth="1"/>
    <col min="2" max="2" width="10.5703125" style="43" customWidth="1"/>
    <col min="3" max="3" width="22.85546875" style="43" customWidth="1"/>
    <col min="4" max="4" width="40" style="14" customWidth="1"/>
    <col min="5" max="5" width="16.7109375" style="14" customWidth="1"/>
    <col min="6" max="6" width="10.85546875" style="14" customWidth="1"/>
    <col min="7" max="7" width="11.5703125" style="14" customWidth="1"/>
    <col min="8" max="8" width="38.85546875" style="14" customWidth="1"/>
    <col min="9" max="9" width="24" style="14" customWidth="1"/>
    <col min="10" max="10" width="46.85546875" style="14" customWidth="1"/>
    <col min="11" max="11" width="18.140625" style="14" customWidth="1"/>
    <col min="12" max="12" width="16.28515625" style="14" customWidth="1"/>
    <col min="13" max="13" width="17" style="14" customWidth="1"/>
    <col min="14" max="14" width="17.7109375" style="14" customWidth="1"/>
    <col min="15" max="15" width="22.42578125" style="14" customWidth="1"/>
    <col min="16" max="16" width="19.28515625" style="14" customWidth="1"/>
    <col min="17" max="17" width="22.140625" style="50" customWidth="1"/>
    <col min="18" max="19" width="17.7109375" style="14" customWidth="1"/>
    <col min="20" max="20" width="23.85546875" style="14" customWidth="1"/>
    <col min="21" max="21" width="18.140625" style="14" customWidth="1"/>
    <col min="22" max="22" width="22.85546875" style="14" customWidth="1"/>
    <col min="23" max="23" width="26" style="58" customWidth="1"/>
    <col min="24" max="24" width="21.85546875" style="14" customWidth="1"/>
    <col min="25" max="25" width="13.140625" style="14" bestFit="1" customWidth="1"/>
    <col min="26" max="26" width="11.42578125" style="14"/>
    <col min="27" max="27" width="23.140625" style="14" bestFit="1" customWidth="1"/>
    <col min="28" max="29" width="11.42578125" style="14"/>
    <col min="30" max="30" width="12.7109375" style="14" bestFit="1" customWidth="1"/>
    <col min="31" max="31" width="12.28515625" style="14" bestFit="1" customWidth="1"/>
    <col min="32" max="16384" width="11.42578125" style="14"/>
  </cols>
  <sheetData>
    <row r="1" spans="1:25" x14ac:dyDescent="0.25">
      <c r="B1" s="102"/>
      <c r="C1" s="102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R1" s="204"/>
      <c r="S1" s="50" t="s">
        <v>1337</v>
      </c>
      <c r="T1" s="50"/>
      <c r="U1" s="50"/>
    </row>
    <row r="2" spans="1:25" x14ac:dyDescent="0.25">
      <c r="B2" s="102"/>
      <c r="C2" s="10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R2" s="205"/>
      <c r="S2" s="50" t="s">
        <v>1338</v>
      </c>
      <c r="T2" s="50"/>
      <c r="U2" s="50"/>
    </row>
    <row r="3" spans="1:25" x14ac:dyDescent="0.25">
      <c r="B3" s="102"/>
      <c r="C3" s="102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R3" s="206"/>
      <c r="S3" s="50" t="s">
        <v>1198</v>
      </c>
      <c r="T3" s="50"/>
      <c r="U3" s="50"/>
    </row>
    <row r="4" spans="1:25" x14ac:dyDescent="0.25">
      <c r="B4" s="396" t="s">
        <v>44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49"/>
      <c r="W4" s="56"/>
      <c r="X4" s="49"/>
    </row>
    <row r="5" spans="1:25" x14ac:dyDescent="0.25">
      <c r="B5" s="396" t="s">
        <v>1950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49"/>
      <c r="W5" s="56"/>
      <c r="X5" s="49"/>
      <c r="Y5" s="49"/>
    </row>
    <row r="6" spans="1:25" ht="9" customHeight="1" thickBot="1" x14ac:dyDescent="0.3"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  <c r="S6" s="104"/>
      <c r="T6" s="103"/>
      <c r="U6" s="103"/>
      <c r="V6" s="15"/>
      <c r="W6" s="57"/>
      <c r="X6" s="15"/>
      <c r="Y6" s="15"/>
    </row>
    <row r="7" spans="1:25" s="30" customFormat="1" ht="48" thickBot="1" x14ac:dyDescent="0.3">
      <c r="B7" s="71" t="s">
        <v>9</v>
      </c>
      <c r="C7" s="72" t="s">
        <v>45</v>
      </c>
      <c r="D7" s="73" t="s">
        <v>0</v>
      </c>
      <c r="E7" s="74" t="s">
        <v>46</v>
      </c>
      <c r="F7" s="72" t="s">
        <v>47</v>
      </c>
      <c r="G7" s="74" t="s">
        <v>1194</v>
      </c>
      <c r="H7" s="74" t="s">
        <v>1204</v>
      </c>
      <c r="I7" s="74" t="s">
        <v>1063</v>
      </c>
      <c r="J7" s="74" t="s">
        <v>866</v>
      </c>
      <c r="K7" s="75" t="s">
        <v>8</v>
      </c>
      <c r="L7" s="75" t="s">
        <v>868</v>
      </c>
      <c r="M7" s="75" t="s">
        <v>867</v>
      </c>
      <c r="N7" s="75" t="s">
        <v>1059</v>
      </c>
      <c r="O7" s="75" t="s">
        <v>36</v>
      </c>
      <c r="P7" s="75" t="s">
        <v>1</v>
      </c>
      <c r="Q7" s="75" t="s">
        <v>1038</v>
      </c>
      <c r="R7" s="75" t="s">
        <v>6</v>
      </c>
      <c r="S7" s="75" t="s">
        <v>43</v>
      </c>
      <c r="T7" s="75" t="s">
        <v>4</v>
      </c>
      <c r="U7" s="76" t="s">
        <v>5</v>
      </c>
      <c r="V7" s="76" t="s">
        <v>826</v>
      </c>
      <c r="W7" s="77" t="s">
        <v>825</v>
      </c>
    </row>
    <row r="8" spans="1:25" x14ac:dyDescent="0.25">
      <c r="A8" s="194"/>
      <c r="B8" s="291">
        <v>1</v>
      </c>
      <c r="C8" s="195" t="s">
        <v>942</v>
      </c>
      <c r="D8" s="194" t="s">
        <v>943</v>
      </c>
      <c r="E8" s="194" t="s">
        <v>85</v>
      </c>
      <c r="F8" s="194" t="s">
        <v>87</v>
      </c>
      <c r="G8" s="195">
        <v>1</v>
      </c>
      <c r="H8" s="287" t="s">
        <v>1217</v>
      </c>
      <c r="I8" s="292" t="s">
        <v>1187</v>
      </c>
      <c r="J8" s="194" t="s">
        <v>1301</v>
      </c>
      <c r="K8" s="59">
        <v>45000</v>
      </c>
      <c r="L8" s="293">
        <f>IF(K8&gt;=Datos!$D$14,(Datos!$D$14*Datos!$C$14),IF(K8&lt;=Datos!$D$14,(K8*Datos!$C$14)))</f>
        <v>1291.5</v>
      </c>
      <c r="M8" s="293">
        <f>IF(K8&gt;=Datos!$D$15,(Datos!$D$15*Datos!$C$15),IF(K8&lt;=Datos!$D$15,(K8*Datos!$C$15)))</f>
        <v>1368</v>
      </c>
      <c r="N8" s="106">
        <f>IFERROR(VLOOKUP(C8,[1]Hoja1!$D$5:$E$58,2,FALSE),0)</f>
        <v>0</v>
      </c>
      <c r="O8" s="106">
        <f>K8-(L8+M8+N8)+'Nómina CAID Fija'!O175</f>
        <v>136430.5</v>
      </c>
      <c r="P8" s="294">
        <f>IF(O8&lt;=Datos!$G$7,"0",IF(O8&lt;=Datos!$G$8,(O8-Datos!$F$8)*Datos!$I$6,IF(O8&lt;=Datos!$G$9,Datos!$I$8+(O8-Datos!$F$9)*Datos!$J$6,IF(O8&gt;=Datos!$F$10,(Datos!$I$8+Datos!$J$8)+(O8-Datos!$F$10)*Datos!$K$6))))-'Nómina CAID Fija'!P175</f>
        <v>10585.125</v>
      </c>
      <c r="Q8" s="42">
        <v>0</v>
      </c>
      <c r="R8" s="106"/>
      <c r="S8" s="42"/>
      <c r="T8" s="106">
        <f t="shared" ref="T8:T9" si="0">SUM(P8:R8)+(L8+M8+N8)-S8</f>
        <v>13244.625</v>
      </c>
      <c r="U8" s="106">
        <f t="shared" ref="U8:U9" si="1">+K8-T8</f>
        <v>31755.375</v>
      </c>
      <c r="V8" s="196"/>
      <c r="W8" s="197">
        <v>44652</v>
      </c>
      <c r="X8" s="82"/>
      <c r="Y8" s="63"/>
    </row>
    <row r="9" spans="1:25" x14ac:dyDescent="0.25">
      <c r="A9" s="194"/>
      <c r="B9" s="291">
        <v>2</v>
      </c>
      <c r="C9" s="195" t="s">
        <v>898</v>
      </c>
      <c r="D9" s="194" t="s">
        <v>899</v>
      </c>
      <c r="E9" s="194" t="s">
        <v>85</v>
      </c>
      <c r="F9" s="194" t="s">
        <v>87</v>
      </c>
      <c r="G9" s="195">
        <v>1</v>
      </c>
      <c r="H9" s="287" t="s">
        <v>1721</v>
      </c>
      <c r="I9" s="292" t="s">
        <v>1187</v>
      </c>
      <c r="J9" s="194" t="s">
        <v>1726</v>
      </c>
      <c r="K9" s="59">
        <v>70000</v>
      </c>
      <c r="L9" s="293">
        <f>IF(K9&gt;=Datos!$D$14,(Datos!$D$14*Datos!$C$14),IF(K9&lt;=Datos!$D$14,(K9*Datos!$C$14)))</f>
        <v>2009</v>
      </c>
      <c r="M9" s="293">
        <f>IF(K9&gt;=Datos!$D$15,(Datos!$D$15*Datos!$C$15),IF(K9&lt;=Datos!$D$15,(K9*Datos!$C$15)))</f>
        <v>2128</v>
      </c>
      <c r="N9" s="106">
        <f>IFERROR(VLOOKUP(C9,[1]Hoja1!$D$5:$E$58,2,FALSE),0)</f>
        <v>0</v>
      </c>
      <c r="O9" s="106">
        <f>K9-(L9+M9+N9)+'Nómina CAID Fija'!O223</f>
        <v>136430.5</v>
      </c>
      <c r="P9" s="294">
        <f>IF(O9&lt;=Datos!$G$7,"0",IF(O9&lt;=Datos!$G$8,(O9-Datos!$F$8)*Datos!$I$6,IF(O9&lt;=Datos!$G$9,Datos!$I$8+(O9-Datos!$F$9)*Datos!$J$6,IF(O9&gt;=Datos!$F$10,(Datos!$I$8+Datos!$J$8)+(O9-Datos!$F$10)*Datos!$K$6))))-'Nómina CAID Fija'!P223</f>
        <v>16381.11</v>
      </c>
      <c r="Q9" s="42">
        <v>0</v>
      </c>
      <c r="R9" s="106"/>
      <c r="S9" s="42"/>
      <c r="T9" s="106">
        <f t="shared" si="0"/>
        <v>20518.11</v>
      </c>
      <c r="U9" s="106">
        <f t="shared" si="1"/>
        <v>49481.89</v>
      </c>
      <c r="V9" s="196"/>
      <c r="W9" s="197">
        <v>44621</v>
      </c>
      <c r="X9" s="82"/>
      <c r="Y9" s="63"/>
    </row>
    <row r="10" spans="1:25" ht="16.5" thickBot="1" x14ac:dyDescent="0.3">
      <c r="D10" s="50"/>
      <c r="E10" s="50"/>
      <c r="F10" s="50"/>
      <c r="G10" s="50"/>
      <c r="H10" s="50"/>
      <c r="I10" s="50"/>
      <c r="J10" s="50"/>
      <c r="K10" s="51"/>
      <c r="L10" s="52"/>
      <c r="M10" s="53"/>
      <c r="N10" s="54"/>
      <c r="O10" s="54"/>
      <c r="P10" s="55"/>
      <c r="Q10" s="105">
        <v>0</v>
      </c>
      <c r="R10" s="54"/>
      <c r="S10" s="54"/>
      <c r="T10" s="54"/>
      <c r="U10" s="51"/>
      <c r="X10" s="63"/>
      <c r="Y10" s="63"/>
    </row>
    <row r="11" spans="1:25" ht="16.5" thickBot="1" x14ac:dyDescent="0.3">
      <c r="B11" s="397" t="s">
        <v>41</v>
      </c>
      <c r="C11" s="398"/>
      <c r="D11" s="398"/>
      <c r="E11" s="399"/>
      <c r="F11" s="101"/>
      <c r="G11" s="101"/>
      <c r="H11" s="101"/>
      <c r="I11" s="101"/>
      <c r="J11" s="101"/>
      <c r="K11" s="69">
        <f>SUM(K8:K10)</f>
        <v>115000</v>
      </c>
      <c r="L11" s="69">
        <f>SUM(L8:L9)</f>
        <v>3300.5</v>
      </c>
      <c r="M11" s="69">
        <f>SUM(M8:M9)</f>
        <v>3496</v>
      </c>
      <c r="N11" s="69">
        <f>SUM(N8:N9)</f>
        <v>0</v>
      </c>
      <c r="O11" s="69">
        <f>SUM(O8:O9)</f>
        <v>272861</v>
      </c>
      <c r="P11" s="69">
        <f>SUM(P8:P10)</f>
        <v>26966.235000000001</v>
      </c>
      <c r="Q11" s="69">
        <f>SUM(Q8:Q10)</f>
        <v>0</v>
      </c>
      <c r="R11" s="69">
        <f>SUM(R8:R10)</f>
        <v>0</v>
      </c>
      <c r="S11" s="69">
        <f>SUM(S8:S9)</f>
        <v>0</v>
      </c>
      <c r="T11" s="69">
        <f>SUM(T8:T9)</f>
        <v>33762.735000000001</v>
      </c>
      <c r="U11" s="69">
        <f>SUM(U8:U9)</f>
        <v>81237.264999999999</v>
      </c>
    </row>
    <row r="12" spans="1:25" ht="16.5" thickBot="1" x14ac:dyDescent="0.3"/>
    <row r="13" spans="1:25" ht="16.5" thickBot="1" x14ac:dyDescent="0.3">
      <c r="B13" s="400" t="s">
        <v>869</v>
      </c>
      <c r="C13" s="401"/>
      <c r="D13" s="401"/>
      <c r="E13" s="402"/>
      <c r="F13" s="94"/>
      <c r="G13" s="94"/>
      <c r="H13" s="94"/>
      <c r="I13" s="94"/>
      <c r="J13" s="94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spans="1:25" customFormat="1" ht="15" x14ac:dyDescent="0.25"/>
    <row r="15" spans="1:25" customFormat="1" ht="15" x14ac:dyDescent="0.25"/>
    <row r="16" spans="1:25" customFormat="1" ht="15" x14ac:dyDescent="0.25"/>
    <row r="17" customFormat="1" ht="15" x14ac:dyDescent="0.25"/>
    <row r="18" customFormat="1" ht="15" x14ac:dyDescent="0.25"/>
    <row r="19" customFormat="1" ht="15" x14ac:dyDescent="0.25"/>
    <row r="20" customFormat="1" ht="19.5" customHeight="1" x14ac:dyDescent="0.25"/>
    <row r="21" customFormat="1" ht="15" x14ac:dyDescent="0.25"/>
    <row r="22" customFormat="1" ht="15" x14ac:dyDescent="0.25"/>
    <row r="23" customFormat="1" ht="15" x14ac:dyDescent="0.25"/>
    <row r="24" customFormat="1" ht="15" x14ac:dyDescent="0.25"/>
    <row r="25" customFormat="1" ht="15" x14ac:dyDescent="0.25"/>
    <row r="26" customFormat="1" ht="15" x14ac:dyDescent="0.25"/>
  </sheetData>
  <mergeCells count="4">
    <mergeCell ref="B4:U4"/>
    <mergeCell ref="B5:U5"/>
    <mergeCell ref="B11:E11"/>
    <mergeCell ref="B13:E13"/>
  </mergeCells>
  <pageMargins left="0.70866141732283505" right="0.70866141732283505" top="0.74803149606299202" bottom="0.74803149606299202" header="0.31496062992126" footer="0.31496062992126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7:M46"/>
  <sheetViews>
    <sheetView showGridLines="0" topLeftCell="A12" zoomScale="84" zoomScaleNormal="84" zoomScaleSheetLayoutView="100" workbookViewId="0">
      <selection activeCell="G43" sqref="G43"/>
    </sheetView>
  </sheetViews>
  <sheetFormatPr baseColWidth="10" defaultColWidth="11.42578125" defaultRowHeight="15" x14ac:dyDescent="0.25"/>
  <cols>
    <col min="1" max="1" width="6.140625" style="123" customWidth="1"/>
    <col min="2" max="2" width="16.42578125" style="124" customWidth="1"/>
    <col min="3" max="3" width="29.28515625" style="125" customWidth="1"/>
    <col min="4" max="4" width="13.28515625" style="125" bestFit="1" customWidth="1"/>
    <col min="5" max="5" width="23" style="125" customWidth="1"/>
    <col min="6" max="6" width="29.28515625" style="125" customWidth="1"/>
    <col min="7" max="9" width="22" style="130" customWidth="1"/>
    <col min="10" max="10" width="23.140625" style="125" customWidth="1"/>
    <col min="11" max="11" width="14.7109375" style="116" customWidth="1"/>
    <col min="12" max="12" width="11.42578125" style="116"/>
    <col min="13" max="13" width="12.28515625" style="116" bestFit="1" customWidth="1"/>
    <col min="14" max="16384" width="11.42578125" style="116"/>
  </cols>
  <sheetData>
    <row r="7" spans="1:13" x14ac:dyDescent="0.25">
      <c r="G7" s="126"/>
      <c r="H7" s="126"/>
      <c r="I7" s="126"/>
    </row>
    <row r="8" spans="1:13" x14ac:dyDescent="0.25">
      <c r="G8" s="126"/>
      <c r="H8" s="126"/>
      <c r="I8" s="126"/>
    </row>
    <row r="9" spans="1:13" x14ac:dyDescent="0.25">
      <c r="A9" s="137" t="s">
        <v>1955</v>
      </c>
      <c r="B9" s="138"/>
      <c r="C9" s="138"/>
      <c r="D9" s="138"/>
      <c r="E9" s="138"/>
      <c r="F9" s="138"/>
      <c r="G9" s="138"/>
      <c r="H9" s="138"/>
      <c r="I9" s="138"/>
      <c r="J9" s="138"/>
      <c r="K9"/>
    </row>
    <row r="10" spans="1:13" x14ac:dyDescent="0.25">
      <c r="A10" s="116" t="s">
        <v>1302</v>
      </c>
      <c r="B10" s="116" t="s">
        <v>1303</v>
      </c>
      <c r="C10" s="116"/>
      <c r="D10" s="116"/>
      <c r="E10" s="116"/>
      <c r="F10" s="116"/>
      <c r="G10" s="116"/>
      <c r="H10" s="116"/>
      <c r="I10" s="116"/>
      <c r="J10" s="116"/>
    </row>
    <row r="11" spans="1:13" s="118" customFormat="1" ht="30" x14ac:dyDescent="0.25">
      <c r="A11" s="97" t="s">
        <v>1166</v>
      </c>
      <c r="B11" s="97" t="s">
        <v>1167</v>
      </c>
      <c r="C11" s="97" t="s">
        <v>1168</v>
      </c>
      <c r="D11" s="97" t="s">
        <v>1169</v>
      </c>
      <c r="E11" s="97" t="s">
        <v>1197</v>
      </c>
      <c r="F11" s="97" t="s">
        <v>1170</v>
      </c>
      <c r="G11" s="97" t="s">
        <v>1171</v>
      </c>
      <c r="H11" s="117" t="s">
        <v>1190</v>
      </c>
      <c r="I11" s="117" t="s">
        <v>1172</v>
      </c>
      <c r="J11" s="117" t="s">
        <v>1173</v>
      </c>
      <c r="K11"/>
    </row>
    <row r="12" spans="1:13" x14ac:dyDescent="0.25">
      <c r="A12" s="119"/>
      <c r="B12" s="108"/>
      <c r="C12" s="181"/>
      <c r="D12" s="121"/>
      <c r="E12" s="121"/>
      <c r="F12" s="192"/>
      <c r="G12" s="121"/>
      <c r="H12" s="132"/>
      <c r="I12" s="122"/>
      <c r="J12" s="122"/>
      <c r="K12"/>
    </row>
    <row r="13" spans="1:13" customFormat="1" x14ac:dyDescent="0.25"/>
    <row r="14" spans="1:13" x14ac:dyDescent="0.25">
      <c r="A14" s="112" t="s">
        <v>1956</v>
      </c>
      <c r="B14" s="113"/>
      <c r="C14" s="114"/>
      <c r="D14" s="114"/>
      <c r="E14" s="114"/>
      <c r="F14" s="114"/>
      <c r="G14" s="115"/>
      <c r="H14" s="115"/>
      <c r="I14" s="115"/>
      <c r="J14" s="114"/>
      <c r="K14" s="115"/>
    </row>
    <row r="15" spans="1:13" x14ac:dyDescent="0.25">
      <c r="A15" s="116" t="s">
        <v>1165</v>
      </c>
      <c r="B15" s="116"/>
      <c r="C15" s="116"/>
      <c r="D15" s="116"/>
      <c r="E15" s="116"/>
      <c r="F15" s="116"/>
      <c r="G15" s="116"/>
      <c r="H15" s="116"/>
      <c r="I15" s="116"/>
      <c r="J15" s="116"/>
      <c r="M15" s="116" t="s">
        <v>1585</v>
      </c>
    </row>
    <row r="16" spans="1:13" s="118" customFormat="1" ht="45" x14ac:dyDescent="0.25">
      <c r="A16" s="97" t="s">
        <v>1166</v>
      </c>
      <c r="B16" s="97" t="s">
        <v>1167</v>
      </c>
      <c r="C16" s="97" t="s">
        <v>1168</v>
      </c>
      <c r="D16" s="97" t="s">
        <v>1169</v>
      </c>
      <c r="E16" s="97" t="s">
        <v>1197</v>
      </c>
      <c r="F16" s="97" t="s">
        <v>1170</v>
      </c>
      <c r="G16" s="97" t="s">
        <v>1171</v>
      </c>
      <c r="H16" s="117" t="s">
        <v>1470</v>
      </c>
      <c r="I16" s="117" t="s">
        <v>1185</v>
      </c>
      <c r="J16" s="117" t="s">
        <v>1186</v>
      </c>
      <c r="K16" s="97" t="s">
        <v>1174</v>
      </c>
      <c r="L16" s="240" t="s">
        <v>1175</v>
      </c>
    </row>
    <row r="17" spans="1:13" s="253" customFormat="1" x14ac:dyDescent="0.25">
      <c r="A17" s="252"/>
      <c r="B17" s="224"/>
      <c r="C17" s="224"/>
      <c r="D17" s="224"/>
      <c r="E17" s="224"/>
      <c r="F17" s="224"/>
      <c r="G17" s="224"/>
      <c r="H17" s="218"/>
      <c r="I17" s="218"/>
      <c r="J17" s="218"/>
      <c r="K17" s="224"/>
      <c r="L17" s="254"/>
      <c r="M17" s="281"/>
    </row>
    <row r="18" spans="1:13" ht="15.75" x14ac:dyDescent="0.25">
      <c r="A18" s="127"/>
      <c r="D18" s="128"/>
      <c r="E18" s="128"/>
      <c r="G18" s="129"/>
      <c r="H18" s="129"/>
      <c r="I18" s="139"/>
      <c r="J18" s="139">
        <f>SUM(J17:J17)</f>
        <v>0</v>
      </c>
      <c r="K18"/>
    </row>
    <row r="19" spans="1:13" x14ac:dyDescent="0.25">
      <c r="A19" s="127"/>
      <c r="D19" s="128"/>
      <c r="E19" s="128"/>
      <c r="G19" s="129"/>
      <c r="H19" s="129"/>
      <c r="I19"/>
      <c r="J19"/>
      <c r="K19"/>
    </row>
    <row r="20" spans="1:13" x14ac:dyDescent="0.25">
      <c r="A20" s="112" t="s">
        <v>1957</v>
      </c>
      <c r="B20" s="113"/>
      <c r="C20" s="114"/>
      <c r="D20" s="114"/>
      <c r="E20" s="114"/>
      <c r="F20" s="114"/>
      <c r="G20" s="114"/>
      <c r="H20" s="115"/>
      <c r="I20" s="115"/>
      <c r="J20"/>
      <c r="K20"/>
    </row>
    <row r="21" spans="1:13" x14ac:dyDescent="0.25">
      <c r="A21" s="116" t="s">
        <v>1302</v>
      </c>
      <c r="B21" s="116" t="s">
        <v>1303</v>
      </c>
      <c r="C21" s="116"/>
      <c r="D21" s="116"/>
      <c r="E21" s="116"/>
      <c r="F21" s="116"/>
      <c r="G21" s="116"/>
      <c r="H21" s="116"/>
      <c r="I21" s="116"/>
      <c r="J21" s="116"/>
    </row>
    <row r="22" spans="1:13" ht="30" x14ac:dyDescent="0.25">
      <c r="A22" s="97" t="s">
        <v>1166</v>
      </c>
      <c r="B22" s="97" t="s">
        <v>1167</v>
      </c>
      <c r="C22" s="97" t="s">
        <v>1168</v>
      </c>
      <c r="D22" s="97" t="s">
        <v>1169</v>
      </c>
      <c r="E22" s="97" t="s">
        <v>1197</v>
      </c>
      <c r="F22" s="97" t="s">
        <v>1170</v>
      </c>
      <c r="G22" s="97" t="s">
        <v>1171</v>
      </c>
      <c r="H22" s="117" t="s">
        <v>1174</v>
      </c>
      <c r="I22" s="117" t="s">
        <v>1172</v>
      </c>
      <c r="J22"/>
      <c r="K22"/>
    </row>
    <row r="23" spans="1:13" x14ac:dyDescent="0.25">
      <c r="A23" s="119">
        <v>1</v>
      </c>
      <c r="B23" s="108"/>
      <c r="C23" s="120"/>
      <c r="D23" s="121"/>
      <c r="E23" s="121"/>
      <c r="F23" s="121"/>
      <c r="G23" s="120"/>
      <c r="H23" s="132"/>
      <c r="I23" s="122"/>
      <c r="J23"/>
      <c r="K23"/>
    </row>
    <row r="24" spans="1:13" customFormat="1" x14ac:dyDescent="0.25"/>
    <row r="25" spans="1:13" customFormat="1" x14ac:dyDescent="0.25">
      <c r="I25" s="152">
        <f>SUM(I23:I24)</f>
        <v>0</v>
      </c>
    </row>
    <row r="26" spans="1:13" x14ac:dyDescent="0.25">
      <c r="A26" s="127"/>
      <c r="D26" s="128"/>
      <c r="E26" s="128"/>
      <c r="F26" s="128"/>
      <c r="G26" s="125"/>
      <c r="H26" s="129"/>
      <c r="I26" s="151"/>
      <c r="J26"/>
      <c r="K26"/>
    </row>
    <row r="27" spans="1:13" x14ac:dyDescent="0.25">
      <c r="A27" s="127"/>
      <c r="D27" s="128"/>
      <c r="E27" s="128"/>
      <c r="F27" s="128"/>
      <c r="G27" s="125"/>
      <c r="H27" s="129"/>
      <c r="I27" s="129"/>
      <c r="J27"/>
      <c r="K27"/>
    </row>
    <row r="28" spans="1:13" x14ac:dyDescent="0.25">
      <c r="A28" s="127"/>
      <c r="C28" s="407"/>
      <c r="D28" s="407"/>
      <c r="E28" s="128"/>
      <c r="F28" s="128"/>
      <c r="G28" s="125"/>
      <c r="H28" s="129"/>
      <c r="I28" s="129"/>
      <c r="J28" s="403"/>
      <c r="K28" s="403"/>
    </row>
    <row r="29" spans="1:13" x14ac:dyDescent="0.25">
      <c r="A29" s="127"/>
      <c r="C29" s="405" t="s">
        <v>1486</v>
      </c>
      <c r="D29" s="405"/>
      <c r="E29" s="128"/>
      <c r="F29" s="128"/>
      <c r="G29" s="404" t="s">
        <v>1227</v>
      </c>
      <c r="H29" s="404"/>
      <c r="I29" s="129"/>
      <c r="J29" s="116"/>
    </row>
    <row r="30" spans="1:13" x14ac:dyDescent="0.25">
      <c r="A30" s="127"/>
      <c r="C30" s="406" t="s">
        <v>1487</v>
      </c>
      <c r="D30" s="406"/>
      <c r="E30" s="128"/>
      <c r="F30" s="128"/>
      <c r="G30" s="403" t="s">
        <v>1225</v>
      </c>
      <c r="H30" s="403"/>
      <c r="I30" s="129"/>
      <c r="J30" s="116"/>
    </row>
    <row r="31" spans="1:13" x14ac:dyDescent="0.25">
      <c r="A31" s="127"/>
      <c r="C31" s="123"/>
      <c r="D31" s="123"/>
      <c r="E31" s="128"/>
      <c r="F31" s="128"/>
      <c r="G31" s="128"/>
      <c r="H31" s="128"/>
      <c r="I31" s="129"/>
      <c r="J31" s="116"/>
    </row>
    <row r="32" spans="1:13" x14ac:dyDescent="0.25">
      <c r="A32" s="127"/>
      <c r="C32" s="123"/>
      <c r="D32" s="123"/>
      <c r="E32" s="128"/>
      <c r="F32" s="128"/>
      <c r="G32" s="128"/>
      <c r="H32" s="128"/>
      <c r="I32" s="129"/>
      <c r="J32" s="116"/>
    </row>
    <row r="33" spans="1:13" x14ac:dyDescent="0.25">
      <c r="A33" s="127"/>
      <c r="D33" s="128"/>
      <c r="E33" s="128"/>
      <c r="G33" s="129"/>
      <c r="H33" s="129"/>
      <c r="I33"/>
      <c r="J33"/>
      <c r="K33"/>
    </row>
    <row r="34" spans="1:13" x14ac:dyDescent="0.25">
      <c r="A34" s="127"/>
      <c r="D34" s="128"/>
      <c r="E34" s="128"/>
      <c r="G34" s="129"/>
      <c r="H34" s="129"/>
      <c r="I34"/>
      <c r="J34"/>
      <c r="K34"/>
    </row>
    <row r="35" spans="1:13" x14ac:dyDescent="0.25">
      <c r="A35" s="127"/>
      <c r="D35" s="128"/>
      <c r="E35" s="128"/>
      <c r="G35" s="129"/>
      <c r="H35" s="129"/>
      <c r="I35"/>
      <c r="J35"/>
      <c r="K35"/>
    </row>
    <row r="36" spans="1:13" s="130" customFormat="1" ht="30" x14ac:dyDescent="0.25">
      <c r="A36" s="123"/>
      <c r="B36" s="124"/>
      <c r="C36" s="125"/>
      <c r="D36" s="125"/>
      <c r="E36" s="125"/>
      <c r="F36" s="125"/>
      <c r="G36" s="126" t="s">
        <v>1837</v>
      </c>
      <c r="H36" s="126">
        <v>115000</v>
      </c>
      <c r="J36" s="125"/>
      <c r="K36" s="116"/>
      <c r="L36" s="116"/>
      <c r="M36" s="116"/>
    </row>
    <row r="38" spans="1:13" x14ac:dyDescent="0.25">
      <c r="H38" s="130">
        <v>0</v>
      </c>
    </row>
    <row r="39" spans="1:13" x14ac:dyDescent="0.25">
      <c r="G39" s="130" t="s">
        <v>1199</v>
      </c>
      <c r="H39" s="130">
        <f>+J18</f>
        <v>0</v>
      </c>
    </row>
    <row r="40" spans="1:13" s="130" customFormat="1" ht="15.75" thickBot="1" x14ac:dyDescent="0.3">
      <c r="A40" s="123"/>
      <c r="B40" s="124"/>
      <c r="C40" s="125"/>
      <c r="D40" s="125"/>
      <c r="E40" s="125"/>
      <c r="F40" s="125"/>
      <c r="G40" s="130" t="s">
        <v>1230</v>
      </c>
      <c r="H40" s="153">
        <f>-I25</f>
        <v>0</v>
      </c>
      <c r="J40" s="125"/>
      <c r="K40" s="116"/>
      <c r="L40" s="116"/>
      <c r="M40" s="116"/>
    </row>
    <row r="41" spans="1:13" s="130" customFormat="1" ht="15.75" thickTop="1" x14ac:dyDescent="0.25">
      <c r="A41" s="123"/>
      <c r="B41" s="124"/>
      <c r="C41" s="125"/>
      <c r="D41" s="125"/>
      <c r="E41" s="125"/>
      <c r="F41" s="125"/>
      <c r="G41" s="130" t="s">
        <v>1198</v>
      </c>
      <c r="H41" s="130">
        <f>SUM(H38:H40)</f>
        <v>0</v>
      </c>
      <c r="J41" s="125"/>
      <c r="K41" s="116"/>
      <c r="L41" s="116"/>
      <c r="M41" s="116"/>
    </row>
    <row r="43" spans="1:13" ht="15.75" thickBot="1" x14ac:dyDescent="0.3">
      <c r="G43" s="126" t="s">
        <v>1951</v>
      </c>
      <c r="H43" s="251">
        <f>+'Nómina Suplencia'!K11</f>
        <v>115000</v>
      </c>
    </row>
    <row r="44" spans="1:13" ht="15.75" thickTop="1" x14ac:dyDescent="0.25"/>
    <row r="45" spans="1:13" ht="15.75" thickBot="1" x14ac:dyDescent="0.3">
      <c r="H45" s="131">
        <f>+H36+H41</f>
        <v>115000</v>
      </c>
    </row>
    <row r="46" spans="1:13" ht="15.75" thickTop="1" x14ac:dyDescent="0.25"/>
  </sheetData>
  <mergeCells count="6">
    <mergeCell ref="C28:D28"/>
    <mergeCell ref="J28:K28"/>
    <mergeCell ref="C29:D29"/>
    <mergeCell ref="G29:H29"/>
    <mergeCell ref="C30:D30"/>
    <mergeCell ref="G30:H30"/>
  </mergeCells>
  <printOptions horizontalCentered="1" verticalCentered="1"/>
  <pageMargins left="1.5" right="0.5" top="0.25" bottom="1.5" header="0" footer="0"/>
  <pageSetup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Z118"/>
  <sheetViews>
    <sheetView showGridLines="0" zoomScale="90" zoomScaleNormal="90" workbookViewId="0">
      <pane xSplit="4" ySplit="21" topLeftCell="E65" activePane="bottomRight" state="frozen"/>
      <selection pane="topRight" activeCell="E1" sqref="E1"/>
      <selection pane="bottomLeft" activeCell="A9" sqref="A9"/>
      <selection pane="bottomRight" activeCell="R96" sqref="R96"/>
    </sheetView>
  </sheetViews>
  <sheetFormatPr baseColWidth="10" defaultColWidth="11.42578125" defaultRowHeight="15.75" x14ac:dyDescent="0.25"/>
  <cols>
    <col min="1" max="1" width="1.28515625" style="14" customWidth="1"/>
    <col min="2" max="2" width="13.140625" style="43" customWidth="1"/>
    <col min="3" max="3" width="23" style="43" customWidth="1"/>
    <col min="4" max="4" width="45.28515625" style="14" customWidth="1"/>
    <col min="5" max="5" width="16.7109375" style="14" customWidth="1"/>
    <col min="6" max="6" width="15.85546875" style="14" customWidth="1"/>
    <col min="7" max="7" width="14.28515625" style="43" customWidth="1"/>
    <col min="8" max="8" width="50.140625" style="43" customWidth="1"/>
    <col min="9" max="9" width="30.28515625" style="14" customWidth="1"/>
    <col min="10" max="10" width="46.140625" style="14" customWidth="1"/>
    <col min="11" max="11" width="18.140625" style="14" bestFit="1" customWidth="1"/>
    <col min="12" max="12" width="16.28515625" style="14" customWidth="1"/>
    <col min="13" max="13" width="17" style="14" bestFit="1" customWidth="1"/>
    <col min="14" max="14" width="17.7109375" style="14" customWidth="1"/>
    <col min="15" max="15" width="22.42578125" style="14" customWidth="1"/>
    <col min="16" max="16" width="19.5703125" style="14" bestFit="1" customWidth="1"/>
    <col min="17" max="17" width="22.140625" style="14" customWidth="1"/>
    <col min="18" max="19" width="17.7109375" style="14" customWidth="1"/>
    <col min="20" max="20" width="23.85546875" style="14" customWidth="1"/>
    <col min="21" max="21" width="18.140625" style="14" customWidth="1"/>
    <col min="22" max="22" width="22.85546875" style="14" customWidth="1"/>
    <col min="23" max="23" width="26" style="58" customWidth="1"/>
    <col min="24" max="24" width="28.85546875" style="14" customWidth="1"/>
    <col min="25" max="25" width="13.140625" style="14" bestFit="1" customWidth="1"/>
    <col min="26" max="26" width="11.42578125" style="14"/>
    <col min="27" max="27" width="23.140625" style="14" bestFit="1" customWidth="1"/>
    <col min="28" max="16384" width="11.42578125" style="14"/>
  </cols>
  <sheetData>
    <row r="3" spans="1:25" x14ac:dyDescent="0.25">
      <c r="B3" s="408" t="s">
        <v>44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9"/>
      <c r="W3" s="56"/>
      <c r="X3" s="49"/>
    </row>
    <row r="4" spans="1:25" x14ac:dyDescent="0.25">
      <c r="B4" s="408" t="s">
        <v>1950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9"/>
      <c r="W4" s="56"/>
      <c r="X4" s="49"/>
      <c r="Y4" s="49"/>
    </row>
    <row r="5" spans="1:25" ht="9" customHeight="1" thickBot="1" x14ac:dyDescent="0.3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  <c r="T5" s="15"/>
      <c r="U5" s="15"/>
      <c r="V5" s="15"/>
      <c r="W5" s="57"/>
      <c r="X5" s="15"/>
      <c r="Y5" s="15"/>
    </row>
    <row r="6" spans="1:25" s="30" customFormat="1" ht="48" thickBot="1" x14ac:dyDescent="0.3">
      <c r="B6" s="217" t="s">
        <v>9</v>
      </c>
      <c r="C6" s="144" t="s">
        <v>45</v>
      </c>
      <c r="D6" s="145" t="s">
        <v>0</v>
      </c>
      <c r="E6" s="146" t="s">
        <v>46</v>
      </c>
      <c r="F6" s="144" t="s">
        <v>47</v>
      </c>
      <c r="G6" s="146" t="s">
        <v>1194</v>
      </c>
      <c r="H6" s="146" t="s">
        <v>1241</v>
      </c>
      <c r="I6" s="146" t="s">
        <v>1063</v>
      </c>
      <c r="J6" s="146" t="s">
        <v>866</v>
      </c>
      <c r="K6" s="147" t="s">
        <v>8</v>
      </c>
      <c r="L6" s="147" t="s">
        <v>868</v>
      </c>
      <c r="M6" s="147" t="s">
        <v>867</v>
      </c>
      <c r="N6" s="147" t="s">
        <v>1242</v>
      </c>
      <c r="O6" s="147" t="s">
        <v>36</v>
      </c>
      <c r="P6" s="147" t="s">
        <v>1</v>
      </c>
      <c r="Q6" s="147" t="s">
        <v>1038</v>
      </c>
      <c r="R6" s="147" t="s">
        <v>1246</v>
      </c>
      <c r="S6" s="147" t="s">
        <v>43</v>
      </c>
      <c r="T6" s="147" t="s">
        <v>1243</v>
      </c>
      <c r="U6" s="148" t="s">
        <v>1247</v>
      </c>
      <c r="V6" s="148" t="s">
        <v>1244</v>
      </c>
      <c r="W6" s="149" t="s">
        <v>1245</v>
      </c>
      <c r="X6" s="150" t="s">
        <v>1248</v>
      </c>
    </row>
    <row r="7" spans="1:25" ht="16.5" customHeight="1" x14ac:dyDescent="0.25">
      <c r="B7" s="310">
        <v>1</v>
      </c>
      <c r="C7" s="195" t="s">
        <v>1890</v>
      </c>
      <c r="D7" s="194" t="s">
        <v>1891</v>
      </c>
      <c r="E7" s="194" t="s">
        <v>85</v>
      </c>
      <c r="F7" s="194" t="s">
        <v>914</v>
      </c>
      <c r="G7" s="195">
        <v>5</v>
      </c>
      <c r="H7" s="108" t="s">
        <v>1383</v>
      </c>
      <c r="I7" s="194" t="s">
        <v>1062</v>
      </c>
      <c r="J7" s="194" t="s">
        <v>1520</v>
      </c>
      <c r="K7" s="59">
        <v>35000</v>
      </c>
      <c r="L7" s="237">
        <f>IF(K7&gt;=Datos!$D$14,(Datos!$D$14*Datos!$C$14),IF(K7&lt;=Datos!$D$14,(K7*Datos!$C$14)))</f>
        <v>1004.5</v>
      </c>
      <c r="M7" s="237">
        <f>IF(K7&gt;=Datos!$D$15,(Datos!$D$15*Datos!$C$15),IF(K7&lt;=Datos!$D$15,(K7*Datos!$C$15)))</f>
        <v>1064</v>
      </c>
      <c r="N7" s="213"/>
      <c r="O7" s="238">
        <f t="shared" ref="O7" si="0">+K7-(L7+M7+N7)</f>
        <v>32931.5</v>
      </c>
      <c r="P7" s="239" t="str">
        <f>IF(O7&lt;=Datos!$G$7,"0",IF(O7&lt;=Datos!$G$8,(O7-Datos!$F$8)*Datos!$I$6,IF(O7&lt;=Datos!$G$9,Datos!$I$8+(O7-Datos!$F$9)*Datos!$J$6,IF(O7&gt;=Datos!$F$10,(Datos!$I$8+Datos!$J$8)+(O7-Datos!$F$10)*Datos!$K$6))))</f>
        <v>0</v>
      </c>
      <c r="Q7" s="238">
        <f>IFERROR(VLOOKUP(C7,[1]Hoja1!$D$5:$E$58,2,FALSE),0)</f>
        <v>0</v>
      </c>
      <c r="R7" s="238">
        <v>25</v>
      </c>
      <c r="S7" s="42"/>
      <c r="T7" s="238">
        <f t="shared" ref="T7" si="1">SUM(P7:R7)+(L7+M7+N7)-S7</f>
        <v>2093.5</v>
      </c>
      <c r="U7" s="238">
        <f t="shared" ref="U7" si="2">+K7-T7</f>
        <v>32906.5</v>
      </c>
      <c r="V7" s="196">
        <v>9607759043</v>
      </c>
      <c r="W7" s="197">
        <v>45627</v>
      </c>
      <c r="X7" s="194"/>
    </row>
    <row r="8" spans="1:25" ht="17.25" customHeight="1" x14ac:dyDescent="0.25">
      <c r="B8" s="310">
        <v>2</v>
      </c>
      <c r="C8" s="311" t="s">
        <v>51</v>
      </c>
      <c r="D8" s="312" t="s">
        <v>70</v>
      </c>
      <c r="E8" s="313" t="s">
        <v>85</v>
      </c>
      <c r="F8" s="313" t="s">
        <v>914</v>
      </c>
      <c r="G8" s="311">
        <v>1</v>
      </c>
      <c r="H8" s="314" t="s">
        <v>1379</v>
      </c>
      <c r="I8" s="315" t="s">
        <v>1187</v>
      </c>
      <c r="J8" s="313" t="s">
        <v>1328</v>
      </c>
      <c r="K8" s="299">
        <v>120000</v>
      </c>
      <c r="L8" s="237">
        <f>IF(K8&gt;=Datos!$D$14,(Datos!$D$14*Datos!$C$14),IF(K8&lt;=Datos!$D$14,(K8*Datos!$C$14)))</f>
        <v>3444</v>
      </c>
      <c r="M8" s="237">
        <f>IF(K8&gt;=Datos!$D$15,(Datos!$D$15*Datos!$C$15),IF(K8&lt;=Datos!$D$15,(K8*Datos!$C$15)))</f>
        <v>3648</v>
      </c>
      <c r="N8" s="300"/>
      <c r="O8" s="238">
        <f t="shared" ref="O8:O77" si="3">+K8-(L8+M8+N8)</f>
        <v>112908</v>
      </c>
      <c r="P8" s="239">
        <f>IF(O8&lt;=Datos!$G$7,"0",IF(O8&lt;=Datos!$G$8,(O8-Datos!$F$8)*Datos!$I$6,IF(O8&lt;=Datos!$G$9,Datos!$I$8+(O8-Datos!$F$9)*Datos!$J$6,IF(O8&gt;=Datos!$F$10,(Datos!$I$8+Datos!$J$8)+(O8-Datos!$F$10)*Datos!$K$6))))</f>
        <v>16809.860666666667</v>
      </c>
      <c r="Q8" s="238">
        <f>IFERROR(VLOOKUP(C8,[1]Hoja1!$D$5:$E$58,2,FALSE),0)</f>
        <v>0</v>
      </c>
      <c r="R8" s="301">
        <v>25</v>
      </c>
      <c r="S8" s="301"/>
      <c r="T8" s="238">
        <f t="shared" ref="T8:T98" si="4">SUM(P8:R8)+(L8+M8+N8)-S8</f>
        <v>23926.860666666667</v>
      </c>
      <c r="U8" s="238">
        <f t="shared" ref="U8:U98" si="5">+K8-T8</f>
        <v>96073.139333333325</v>
      </c>
      <c r="V8" s="316"/>
      <c r="W8" s="317">
        <v>45170</v>
      </c>
      <c r="X8" s="315"/>
    </row>
    <row r="9" spans="1:25" ht="16.5" customHeight="1" x14ac:dyDescent="0.25">
      <c r="A9" s="318"/>
      <c r="B9" s="310">
        <v>3</v>
      </c>
      <c r="C9" s="195" t="s">
        <v>1892</v>
      </c>
      <c r="D9" s="194" t="s">
        <v>1893</v>
      </c>
      <c r="E9" s="194" t="s">
        <v>85</v>
      </c>
      <c r="F9" s="194" t="s">
        <v>914</v>
      </c>
      <c r="G9" s="195">
        <v>5</v>
      </c>
      <c r="H9" s="287" t="s">
        <v>1383</v>
      </c>
      <c r="I9" s="194" t="s">
        <v>1062</v>
      </c>
      <c r="J9" s="194" t="s">
        <v>1520</v>
      </c>
      <c r="K9" s="59">
        <v>35000</v>
      </c>
      <c r="L9" s="48">
        <f>IF(K9&gt;=Datos!$D$14,(Datos!$D$14*Datos!$C$14),IF(K9&lt;=Datos!$D$14,(K9*Datos!$C$14)))</f>
        <v>1004.5</v>
      </c>
      <c r="M9" s="48">
        <f>IF(K9&gt;=Datos!$D$15,(Datos!$D$15*Datos!$C$15),IF(K9&lt;=Datos!$D$15,(K9*Datos!$C$15)))</f>
        <v>1064</v>
      </c>
      <c r="N9" s="42"/>
      <c r="O9" s="42">
        <f t="shared" ref="O9" si="6">+K9-(L9+M9+N9)</f>
        <v>32931.5</v>
      </c>
      <c r="P9" s="239" t="str">
        <f>IF(O9&lt;=Datos!$G$7,"0",IF(O9&lt;=Datos!$G$8,(O9-Datos!$F$8)*Datos!$I$6,IF(O9&lt;=Datos!$G$9,Datos!$I$8+(O9-Datos!$F$9)*Datos!$J$6,IF(O9&gt;=Datos!$F$10,(Datos!$I$8+Datos!$J$8)+(O9-Datos!$F$10)*Datos!$K$6))))</f>
        <v>0</v>
      </c>
      <c r="Q9" s="42">
        <f>IFERROR(VLOOKUP(C9,[1]Hoja1!$D$5:$E$58,2,FALSE),0)</f>
        <v>0</v>
      </c>
      <c r="R9" s="238">
        <v>25</v>
      </c>
      <c r="S9" s="42"/>
      <c r="T9" s="42">
        <f t="shared" ref="T9" si="7">SUM(P9:R9)+(L9+M9+N9)-S9</f>
        <v>2093.5</v>
      </c>
      <c r="U9" s="42">
        <f t="shared" ref="U9" si="8">+K9-T9</f>
        <v>32906.5</v>
      </c>
      <c r="V9" s="196">
        <v>9607759042</v>
      </c>
      <c r="W9" s="197">
        <v>45627</v>
      </c>
      <c r="X9" s="194"/>
    </row>
    <row r="10" spans="1:25" ht="16.5" customHeight="1" x14ac:dyDescent="0.25">
      <c r="B10" s="310">
        <v>4</v>
      </c>
      <c r="C10" s="195" t="s">
        <v>1440</v>
      </c>
      <c r="D10" s="194" t="s">
        <v>1441</v>
      </c>
      <c r="E10" s="194" t="s">
        <v>86</v>
      </c>
      <c r="F10" s="194" t="s">
        <v>914</v>
      </c>
      <c r="G10" s="195">
        <v>1</v>
      </c>
      <c r="H10" s="108" t="s">
        <v>1155</v>
      </c>
      <c r="I10" s="194" t="s">
        <v>1067</v>
      </c>
      <c r="J10" s="194" t="s">
        <v>1444</v>
      </c>
      <c r="K10" s="59">
        <v>60000</v>
      </c>
      <c r="L10" s="237">
        <f>IF(K10&gt;=Datos!$D$14,(Datos!$D$14*Datos!$C$14),IF(K10&lt;=Datos!$D$14,(K10*Datos!$C$14)))</f>
        <v>1722</v>
      </c>
      <c r="M10" s="237">
        <f>IF(K10&gt;=Datos!$D$15,(Datos!$D$15*Datos!$C$15),IF(K10&lt;=Datos!$D$15,(K10*Datos!$C$15)))</f>
        <v>1824</v>
      </c>
      <c r="N10" s="213"/>
      <c r="O10" s="238">
        <f t="shared" si="3"/>
        <v>56454</v>
      </c>
      <c r="P10" s="239">
        <f>IF(O10&lt;=Datos!$G$7,"0",IF(O10&lt;=Datos!$G$8,(O10-Datos!$F$8)*Datos!$I$6,IF(O10&lt;=Datos!$G$9,Datos!$I$8+(O10-Datos!$F$9)*Datos!$J$6,IF(O10&gt;=Datos!$F$10,(Datos!$I$8+Datos!$J$8)+(O10-Datos!$F$10)*Datos!$K$6))))</f>
        <v>3486.6756666666661</v>
      </c>
      <c r="Q10" s="238">
        <f>IFERROR(VLOOKUP(C10,[1]Hoja1!$D$5:$E$58,2,FALSE),0)</f>
        <v>0</v>
      </c>
      <c r="R10" s="42">
        <v>25</v>
      </c>
      <c r="S10" s="42"/>
      <c r="T10" s="238">
        <f t="shared" si="4"/>
        <v>7057.6756666666661</v>
      </c>
      <c r="U10" s="238">
        <f t="shared" si="5"/>
        <v>52942.324333333338</v>
      </c>
      <c r="V10" s="196"/>
      <c r="W10" s="197">
        <v>45231</v>
      </c>
      <c r="X10" s="194"/>
    </row>
    <row r="11" spans="1:25" ht="16.5" customHeight="1" x14ac:dyDescent="0.25">
      <c r="A11" s="318"/>
      <c r="B11" s="310">
        <v>5</v>
      </c>
      <c r="C11" s="195" t="s">
        <v>1747</v>
      </c>
      <c r="D11" s="194" t="s">
        <v>1748</v>
      </c>
      <c r="E11" s="194" t="s">
        <v>86</v>
      </c>
      <c r="F11" s="194" t="s">
        <v>914</v>
      </c>
      <c r="G11" s="195">
        <v>4</v>
      </c>
      <c r="H11" s="108" t="s">
        <v>1206</v>
      </c>
      <c r="I11" s="194" t="s">
        <v>1067</v>
      </c>
      <c r="J11" s="194" t="s">
        <v>1314</v>
      </c>
      <c r="K11" s="59">
        <v>60000</v>
      </c>
      <c r="L11" s="48">
        <f>IF(K11&gt;=Datos!$D$14,(Datos!$D$14*Datos!$C$14),IF(K11&lt;=Datos!$D$14,(K11*Datos!$C$14)))</f>
        <v>1722</v>
      </c>
      <c r="M11" s="48">
        <f>IF(K11&gt;=Datos!$D$15,(Datos!$D$15*Datos!$C$15),IF(K11&lt;=Datos!$D$15,(K11*Datos!$C$15)))</f>
        <v>1824</v>
      </c>
      <c r="N11" s="213"/>
      <c r="O11" s="42">
        <f t="shared" ref="O11:O12" si="9">+K11-(L11+M11+N11)</f>
        <v>56454</v>
      </c>
      <c r="P11" s="239">
        <f>IF(O11&lt;=Datos!$G$7,"0",IF(O11&lt;=Datos!$G$8,(O11-Datos!$F$8)*Datos!$I$6,IF(O11&lt;=Datos!$G$9,Datos!$I$8+(O11-Datos!$F$9)*Datos!$J$6,IF(O11&gt;=Datos!$F$10,(Datos!$I$8+Datos!$J$8)+(O11-Datos!$F$10)*Datos!$K$6))))</f>
        <v>3486.6756666666661</v>
      </c>
      <c r="Q11" s="42">
        <f>IFERROR(VLOOKUP(C11,[1]Hoja1!$D$5:$E$58,2,FALSE),0)</f>
        <v>0</v>
      </c>
      <c r="R11" s="42">
        <v>25</v>
      </c>
      <c r="S11" s="42"/>
      <c r="T11" s="42">
        <f t="shared" si="4"/>
        <v>7057.6756666666661</v>
      </c>
      <c r="U11" s="42">
        <f t="shared" si="5"/>
        <v>52942.324333333338</v>
      </c>
      <c r="V11" s="196">
        <v>9607572585</v>
      </c>
      <c r="W11" s="197">
        <v>45566</v>
      </c>
      <c r="X11" s="194"/>
    </row>
    <row r="12" spans="1:25" ht="16.5" customHeight="1" x14ac:dyDescent="0.25">
      <c r="A12" s="318"/>
      <c r="B12" s="310">
        <v>6</v>
      </c>
      <c r="C12" s="195" t="s">
        <v>1152</v>
      </c>
      <c r="D12" s="194" t="s">
        <v>1153</v>
      </c>
      <c r="E12" s="194" t="s">
        <v>85</v>
      </c>
      <c r="F12" s="194" t="s">
        <v>914</v>
      </c>
      <c r="G12" s="195">
        <v>1</v>
      </c>
      <c r="H12" s="287" t="s">
        <v>1575</v>
      </c>
      <c r="I12" s="194" t="s">
        <v>1187</v>
      </c>
      <c r="J12" s="194" t="s">
        <v>1576</v>
      </c>
      <c r="K12" s="59">
        <v>80000</v>
      </c>
      <c r="L12" s="48">
        <f>IF(K12&gt;=Datos!$D$14,(Datos!$D$14*Datos!$C$14),IF(K12&lt;=Datos!$D$14,(K12*Datos!$C$14)))</f>
        <v>2296</v>
      </c>
      <c r="M12" s="48">
        <f>IF(K12&gt;=Datos!$D$15,(Datos!$D$15*Datos!$C$15),IF(K12&lt;=Datos!$D$15,(K12*Datos!$C$15)))</f>
        <v>2432</v>
      </c>
      <c r="N12" s="42">
        <v>1715.46</v>
      </c>
      <c r="O12" s="42">
        <f t="shared" si="9"/>
        <v>73556.539999999994</v>
      </c>
      <c r="P12" s="239">
        <f>IF(O12&lt;=Datos!$G$7,"0",IF(O12&lt;=Datos!$G$8,(O12-Datos!$F$8)*Datos!$I$6,IF(O12&lt;=Datos!$G$9,Datos!$I$8+(O12-Datos!$F$9)*Datos!$J$6,IF(O12&gt;=Datos!$F$10,(Datos!$I$8+Datos!$J$8)+(O12-Datos!$F$10)*Datos!$K$6))))</f>
        <v>6971.9956666666658</v>
      </c>
      <c r="Q12" s="42">
        <f>IFERROR(VLOOKUP(C12,[1]Hoja1!$D$5:$E$58,2,FALSE),0)</f>
        <v>0</v>
      </c>
      <c r="R12" s="42">
        <v>25</v>
      </c>
      <c r="S12" s="42"/>
      <c r="T12" s="42">
        <f t="shared" ref="T12" si="10">SUM(P12:R12)+(L12+M12+N12)-S12</f>
        <v>13440.455666666665</v>
      </c>
      <c r="U12" s="42">
        <f t="shared" ref="U12" si="11">+K12-T12</f>
        <v>66559.544333333339</v>
      </c>
      <c r="V12" s="196"/>
      <c r="W12" s="197">
        <v>44866</v>
      </c>
      <c r="X12" s="194"/>
    </row>
    <row r="13" spans="1:25" ht="16.5" customHeight="1" x14ac:dyDescent="0.25">
      <c r="B13" s="310">
        <v>7</v>
      </c>
      <c r="C13" s="195" t="s">
        <v>1797</v>
      </c>
      <c r="D13" s="194" t="s">
        <v>1798</v>
      </c>
      <c r="E13" s="194" t="s">
        <v>85</v>
      </c>
      <c r="F13" s="194" t="s">
        <v>914</v>
      </c>
      <c r="G13" s="195">
        <v>1</v>
      </c>
      <c r="H13" s="108" t="s">
        <v>1352</v>
      </c>
      <c r="I13" s="194" t="s">
        <v>1187</v>
      </c>
      <c r="J13" s="194" t="s">
        <v>1787</v>
      </c>
      <c r="K13" s="59">
        <v>65000</v>
      </c>
      <c r="L13" s="237">
        <f>IF(K13&gt;=Datos!$D$14,(Datos!$D$14*Datos!$C$14),IF(K13&lt;=Datos!$D$14,(K13*Datos!$C$14)))</f>
        <v>1865.5</v>
      </c>
      <c r="M13" s="237">
        <f>IF(K13&gt;=Datos!$D$15,(Datos!$D$15*Datos!$C$15),IF(K13&lt;=Datos!$D$15,(K13*Datos!$C$15)))</f>
        <v>1976</v>
      </c>
      <c r="N13" s="231">
        <v>1715.46</v>
      </c>
      <c r="O13" s="238">
        <f t="shared" si="3"/>
        <v>59443.040000000001</v>
      </c>
      <c r="P13" s="239">
        <f>IF(O13&lt;=Datos!$G$7,"0",IF(O13&lt;=Datos!$G$8,(O13-Datos!$F$8)*Datos!$I$6,IF(O13&lt;=Datos!$G$9,Datos!$I$8+(O13-Datos!$F$9)*Datos!$J$6,IF(O13&gt;=Datos!$F$10,(Datos!$I$8+Datos!$J$8)+(O13-Datos!$F$10)*Datos!$K$6))))</f>
        <v>4084.4836666666665</v>
      </c>
      <c r="Q13" s="238"/>
      <c r="R13" s="238">
        <v>25</v>
      </c>
      <c r="S13" s="42"/>
      <c r="T13" s="238">
        <f t="shared" si="4"/>
        <v>9666.4436666666661</v>
      </c>
      <c r="U13" s="238">
        <f t="shared" si="5"/>
        <v>55333.556333333334</v>
      </c>
      <c r="V13" s="196">
        <v>9607660884</v>
      </c>
      <c r="W13" s="197">
        <v>45597</v>
      </c>
      <c r="X13" s="194"/>
    </row>
    <row r="14" spans="1:25" ht="16.5" customHeight="1" x14ac:dyDescent="0.25">
      <c r="B14" s="310">
        <v>8</v>
      </c>
      <c r="C14" s="195" t="s">
        <v>1442</v>
      </c>
      <c r="D14" s="194" t="s">
        <v>1443</v>
      </c>
      <c r="E14" s="194" t="s">
        <v>85</v>
      </c>
      <c r="F14" s="194" t="s">
        <v>914</v>
      </c>
      <c r="G14" s="195">
        <v>1</v>
      </c>
      <c r="H14" s="108" t="s">
        <v>1548</v>
      </c>
      <c r="I14" s="194" t="s">
        <v>1187</v>
      </c>
      <c r="J14" s="194" t="s">
        <v>1445</v>
      </c>
      <c r="K14" s="59">
        <v>120000</v>
      </c>
      <c r="L14" s="237">
        <f>IF(K14&gt;=Datos!$D$14,(Datos!$D$14*Datos!$C$14),IF(K14&lt;=Datos!$D$14,(K14*Datos!$C$14)))</f>
        <v>3444</v>
      </c>
      <c r="M14" s="237">
        <f>IF(K14&gt;=Datos!$D$15,(Datos!$D$15*Datos!$C$15),IF(K14&lt;=Datos!$D$15,(K14*Datos!$C$15)))</f>
        <v>3648</v>
      </c>
      <c r="N14" s="213"/>
      <c r="O14" s="238">
        <f t="shared" si="3"/>
        <v>112908</v>
      </c>
      <c r="P14" s="239">
        <f>IF(O14&lt;=Datos!$G$7,"0",IF(O14&lt;=Datos!$G$8,(O14-Datos!$F$8)*Datos!$I$6,IF(O14&lt;=Datos!$G$9,Datos!$I$8+(O14-Datos!$F$9)*Datos!$J$6,IF(O14&gt;=Datos!$F$10,(Datos!$I$8+Datos!$J$8)+(O14-Datos!$F$10)*Datos!$K$6))))</f>
        <v>16809.860666666667</v>
      </c>
      <c r="Q14" s="238">
        <f>IFERROR(VLOOKUP(C14,[1]Hoja1!$D$5:$E$58,2,FALSE),0)</f>
        <v>0</v>
      </c>
      <c r="R14" s="42">
        <v>25</v>
      </c>
      <c r="S14" s="42"/>
      <c r="T14" s="238">
        <f t="shared" si="4"/>
        <v>23926.860666666667</v>
      </c>
      <c r="U14" s="238">
        <f t="shared" si="5"/>
        <v>96073.139333333325</v>
      </c>
      <c r="V14" s="196"/>
      <c r="W14" s="197">
        <v>45231</v>
      </c>
      <c r="X14" s="194"/>
    </row>
    <row r="15" spans="1:25" ht="16.5" customHeight="1" x14ac:dyDescent="0.25">
      <c r="A15" s="318"/>
      <c r="B15" s="310">
        <v>9</v>
      </c>
      <c r="C15" s="195" t="s">
        <v>912</v>
      </c>
      <c r="D15" s="194" t="s">
        <v>913</v>
      </c>
      <c r="E15" s="194" t="s">
        <v>85</v>
      </c>
      <c r="F15" s="194" t="s">
        <v>914</v>
      </c>
      <c r="G15" s="195">
        <v>1</v>
      </c>
      <c r="H15" s="287" t="s">
        <v>1827</v>
      </c>
      <c r="I15" s="194" t="s">
        <v>1062</v>
      </c>
      <c r="J15" s="194" t="s">
        <v>915</v>
      </c>
      <c r="K15" s="59">
        <v>80000</v>
      </c>
      <c r="L15" s="48">
        <f>IF(K15&gt;=Datos!$D$14,(Datos!$D$14*Datos!$C$14),IF(K15&lt;=Datos!$D$14,(K15*Datos!$C$14)))</f>
        <v>2296</v>
      </c>
      <c r="M15" s="48">
        <f>IF(K15&gt;=Datos!$D$15,(Datos!$D$15*Datos!$C$15),IF(K15&lt;=Datos!$D$15,(K15*Datos!$C$15)))</f>
        <v>2432</v>
      </c>
      <c r="N15" s="42"/>
      <c r="O15" s="42">
        <f t="shared" ref="O15:O16" si="12">+K15-(L15+M15+N15)</f>
        <v>75272</v>
      </c>
      <c r="P15" s="239">
        <f>IF(O15&lt;=Datos!$G$7,"0",IF(O15&lt;=Datos!$G$8,(O15-Datos!$F$8)*Datos!$I$6,IF(O15&lt;=Datos!$G$9,Datos!$I$8+(O15-Datos!$F$9)*Datos!$J$6,IF(O15&gt;=Datos!$F$10,(Datos!$I$8+Datos!$J$8)+(O15-Datos!$F$10)*Datos!$K$6))))</f>
        <v>7400.8606666666674</v>
      </c>
      <c r="Q15" s="42">
        <f>IFERROR(VLOOKUP(C15,[1]Hoja1!$D$5:$E$58,2,FALSE),0)</f>
        <v>0</v>
      </c>
      <c r="R15" s="238">
        <v>25</v>
      </c>
      <c r="S15" s="42"/>
      <c r="T15" s="42">
        <f t="shared" ref="T15:T16" si="13">SUM(P15:R15)+(L15+M15+N15)-S15</f>
        <v>12153.860666666667</v>
      </c>
      <c r="U15" s="42">
        <f t="shared" ref="U15:U16" si="14">+K15-T15</f>
        <v>67846.139333333325</v>
      </c>
      <c r="V15" s="196"/>
      <c r="W15" s="197">
        <v>44621</v>
      </c>
      <c r="X15" s="194"/>
    </row>
    <row r="16" spans="1:25" ht="16.5" customHeight="1" x14ac:dyDescent="0.25">
      <c r="A16" s="318"/>
      <c r="B16" s="310">
        <v>10</v>
      </c>
      <c r="C16" s="195" t="s">
        <v>939</v>
      </c>
      <c r="D16" s="287" t="s">
        <v>940</v>
      </c>
      <c r="E16" s="194" t="s">
        <v>86</v>
      </c>
      <c r="F16" s="194" t="s">
        <v>914</v>
      </c>
      <c r="G16" s="195">
        <v>1</v>
      </c>
      <c r="H16" s="287" t="s">
        <v>1825</v>
      </c>
      <c r="I16" s="194" t="s">
        <v>1187</v>
      </c>
      <c r="J16" s="194" t="s">
        <v>1400</v>
      </c>
      <c r="K16" s="59">
        <v>105000</v>
      </c>
      <c r="L16" s="59">
        <f>IF(K16&gt;=Datos!$D$14,(Datos!$D$14*Datos!$C$14),IF(K16&lt;=Datos!$D$14,(K16*Datos!$C$14)))</f>
        <v>3013.5</v>
      </c>
      <c r="M16" s="59">
        <f>IF(K16&gt;=Datos!$D$15,(Datos!$D$15*Datos!$C$15),IF(K16&lt;=Datos!$D$15,(K16*Datos!$C$15)))</f>
        <v>3192</v>
      </c>
      <c r="N16" s="42"/>
      <c r="O16" s="42">
        <f t="shared" si="12"/>
        <v>98794.5</v>
      </c>
      <c r="P16" s="239">
        <f>IF(O16&lt;=Datos!$G$7,"0",IF(O16&lt;=Datos!$G$8,(O16-Datos!$F$8)*Datos!$I$6,IF(O16&lt;=Datos!$G$9,Datos!$I$8+(O16-Datos!$F$9)*Datos!$J$6,IF(O16&gt;=Datos!$F$10,(Datos!$I$8+Datos!$J$8)+(O16-Datos!$F$10)*Datos!$K$6))))</f>
        <v>13281.485666666667</v>
      </c>
      <c r="Q16" s="42">
        <f>IFERROR(VLOOKUP(C16,[1]Hoja1!$D$5:$E$58,2,FALSE),0)</f>
        <v>0</v>
      </c>
      <c r="R16" s="238">
        <v>25</v>
      </c>
      <c r="S16" s="42"/>
      <c r="T16" s="42">
        <f t="shared" si="13"/>
        <v>19511.985666666667</v>
      </c>
      <c r="U16" s="42">
        <f t="shared" si="14"/>
        <v>85488.014333333325</v>
      </c>
      <c r="V16" s="196"/>
      <c r="W16" s="197">
        <v>44652</v>
      </c>
      <c r="X16" s="194"/>
    </row>
    <row r="17" spans="1:24" ht="16.5" customHeight="1" x14ac:dyDescent="0.25">
      <c r="B17" s="310">
        <v>11</v>
      </c>
      <c r="C17" s="195" t="s">
        <v>1463</v>
      </c>
      <c r="D17" s="194" t="s">
        <v>1464</v>
      </c>
      <c r="E17" s="194" t="s">
        <v>86</v>
      </c>
      <c r="F17" s="194" t="s">
        <v>914</v>
      </c>
      <c r="G17" s="195">
        <v>1</v>
      </c>
      <c r="H17" s="108" t="s">
        <v>1828</v>
      </c>
      <c r="I17" s="108" t="s">
        <v>1187</v>
      </c>
      <c r="J17" s="194" t="s">
        <v>1926</v>
      </c>
      <c r="K17" s="59">
        <v>120000</v>
      </c>
      <c r="L17" s="237">
        <f>IF(K17&gt;=Datos!$D$14,(Datos!$D$14*Datos!$C$14),IF(K17&lt;=Datos!$D$14,(K17*Datos!$C$14)))</f>
        <v>3444</v>
      </c>
      <c r="M17" s="237">
        <f>IF(K17&gt;=Datos!$D$15,(Datos!$D$15*Datos!$C$15),IF(K17&lt;=Datos!$D$15,(K17*Datos!$C$15)))</f>
        <v>3648</v>
      </c>
      <c r="N17" s="231">
        <v>1715.46</v>
      </c>
      <c r="O17" s="238">
        <f t="shared" si="3"/>
        <v>111192.54000000001</v>
      </c>
      <c r="P17" s="239">
        <f>IF(O17&lt;=Datos!$G$7,"0",IF(O17&lt;=Datos!$G$8,(O17-Datos!$F$8)*Datos!$I$6,IF(O17&lt;=Datos!$G$9,Datos!$I$8+(O17-Datos!$F$9)*Datos!$J$6,IF(O17&gt;=Datos!$F$10,(Datos!$I$8+Datos!$J$8)+(O17-Datos!$F$10)*Datos!$K$6))))</f>
        <v>16380.995666666669</v>
      </c>
      <c r="Q17" s="238">
        <f>IFERROR(VLOOKUP(C17,[1]Hoja1!$D$5:$E$58,2,FALSE),0)</f>
        <v>0</v>
      </c>
      <c r="R17" s="42">
        <v>25</v>
      </c>
      <c r="S17" s="42"/>
      <c r="T17" s="238">
        <f t="shared" si="4"/>
        <v>25213.455666666669</v>
      </c>
      <c r="U17" s="238">
        <f t="shared" si="5"/>
        <v>94786.544333333324</v>
      </c>
      <c r="V17" s="196">
        <v>9606360678</v>
      </c>
      <c r="W17" s="197">
        <v>45261</v>
      </c>
      <c r="X17" s="194"/>
    </row>
    <row r="18" spans="1:24" ht="16.5" customHeight="1" x14ac:dyDescent="0.25">
      <c r="B18" s="310">
        <v>12</v>
      </c>
      <c r="C18" s="195" t="s">
        <v>1675</v>
      </c>
      <c r="D18" s="194" t="s">
        <v>1676</v>
      </c>
      <c r="E18" s="194" t="s">
        <v>85</v>
      </c>
      <c r="F18" s="194" t="s">
        <v>914</v>
      </c>
      <c r="G18" s="195">
        <v>4</v>
      </c>
      <c r="H18" s="108" t="s">
        <v>1206</v>
      </c>
      <c r="I18" s="108" t="s">
        <v>1060</v>
      </c>
      <c r="J18" s="194" t="s">
        <v>1588</v>
      </c>
      <c r="K18" s="59">
        <v>60000</v>
      </c>
      <c r="L18" s="237">
        <f>IF(K18&gt;=Datos!$D$14,(Datos!$D$14*Datos!$C$14),IF(K18&lt;=Datos!$D$14,(K18*Datos!$C$14)))</f>
        <v>1722</v>
      </c>
      <c r="M18" s="237">
        <f>IF(K18&gt;=Datos!$D$15,(Datos!$D$15*Datos!$C$15),IF(K18&lt;=Datos!$D$15,(K18*Datos!$C$15)))</f>
        <v>1824</v>
      </c>
      <c r="N18" s="231"/>
      <c r="O18" s="238">
        <f t="shared" si="3"/>
        <v>56454</v>
      </c>
      <c r="P18" s="239">
        <f>IF(O18&lt;=Datos!$G$7,"0",IF(O18&lt;=Datos!$G$8,(O18-Datos!$F$8)*Datos!$I$6,IF(O18&lt;=Datos!$G$9,Datos!$I$8+(O18-Datos!$F$9)*Datos!$J$6,IF(O18&gt;=Datos!$F$10,(Datos!$I$8+Datos!$J$8)+(O18-Datos!$F$10)*Datos!$K$6))))</f>
        <v>3486.6756666666661</v>
      </c>
      <c r="Q18" s="238">
        <v>0</v>
      </c>
      <c r="R18" s="238">
        <v>25</v>
      </c>
      <c r="S18" s="42"/>
      <c r="T18" s="238">
        <f t="shared" si="4"/>
        <v>7057.6756666666661</v>
      </c>
      <c r="U18" s="238">
        <f t="shared" si="5"/>
        <v>52942.324333333338</v>
      </c>
      <c r="V18" s="196">
        <v>9607405789</v>
      </c>
      <c r="W18" s="197">
        <v>45536</v>
      </c>
      <c r="X18" s="194"/>
    </row>
    <row r="19" spans="1:24" ht="16.5" customHeight="1" x14ac:dyDescent="0.25">
      <c r="A19" s="318"/>
      <c r="B19" s="310">
        <v>13</v>
      </c>
      <c r="C19" s="195" t="s">
        <v>1396</v>
      </c>
      <c r="D19" s="194" t="s">
        <v>1397</v>
      </c>
      <c r="E19" s="194" t="s">
        <v>86</v>
      </c>
      <c r="F19" s="194" t="s">
        <v>914</v>
      </c>
      <c r="G19" s="195">
        <v>1</v>
      </c>
      <c r="H19" s="287" t="s">
        <v>1158</v>
      </c>
      <c r="I19" s="194" t="s">
        <v>1187</v>
      </c>
      <c r="J19" s="194" t="s">
        <v>1398</v>
      </c>
      <c r="K19" s="59">
        <v>70000</v>
      </c>
      <c r="L19" s="42">
        <f>IF(K19&gt;=Datos!$D$14,(Datos!$D$14*Datos!$C$14),IF(K19&lt;=Datos!$D$14,(K19*Datos!$C$14)))</f>
        <v>2009</v>
      </c>
      <c r="M19" s="42">
        <f>IF(K19&gt;=Datos!$D$15,(Datos!$D$15*Datos!$C$15),IF(K19&lt;=Datos!$D$15,(K19*Datos!$C$15)))</f>
        <v>2128</v>
      </c>
      <c r="N19" s="42"/>
      <c r="O19" s="42">
        <f t="shared" ref="O19:O20" si="15">+K19-(L19+M19+N19)</f>
        <v>65863</v>
      </c>
      <c r="P19" s="239">
        <f>IF(O19&lt;=Datos!$G$7,"0",IF(O19&lt;=Datos!$G$8,(O19-Datos!$F$8)*Datos!$I$6,IF(O19&lt;=Datos!$G$9,Datos!$I$8+(O19-Datos!$F$9)*Datos!$J$6,IF(O19&gt;=Datos!$F$10,(Datos!$I$8+Datos!$J$8)+(O19-Datos!$F$10)*Datos!$K$6))))</f>
        <v>5368.4756666666663</v>
      </c>
      <c r="Q19" s="42">
        <f>IFERROR(VLOOKUP(C19,[1]Hoja1!$D$5:$E$58,2,FALSE),0)</f>
        <v>0</v>
      </c>
      <c r="R19" s="238">
        <v>25</v>
      </c>
      <c r="S19" s="42"/>
      <c r="T19" s="42">
        <f t="shared" ref="T19:T20" si="16">SUM(P19:R19)+(L19+M19+N19)-S19</f>
        <v>9530.4756666666653</v>
      </c>
      <c r="U19" s="42">
        <f t="shared" ref="U19:U20" si="17">+K19-T19</f>
        <v>60469.524333333335</v>
      </c>
      <c r="V19" s="196">
        <v>9606252869</v>
      </c>
      <c r="W19" s="197">
        <v>45200</v>
      </c>
      <c r="X19" s="194"/>
    </row>
    <row r="20" spans="1:24" ht="16.5" customHeight="1" x14ac:dyDescent="0.25">
      <c r="A20" s="318"/>
      <c r="B20" s="310">
        <v>14</v>
      </c>
      <c r="C20" s="195" t="s">
        <v>1001</v>
      </c>
      <c r="D20" s="194" t="s">
        <v>999</v>
      </c>
      <c r="E20" s="194" t="s">
        <v>86</v>
      </c>
      <c r="F20" s="194" t="s">
        <v>914</v>
      </c>
      <c r="G20" s="195">
        <v>1</v>
      </c>
      <c r="H20" s="287" t="s">
        <v>1825</v>
      </c>
      <c r="I20" s="194" t="s">
        <v>1187</v>
      </c>
      <c r="J20" s="194" t="s">
        <v>1003</v>
      </c>
      <c r="K20" s="59">
        <v>70000</v>
      </c>
      <c r="L20" s="48">
        <f>IF(K20&gt;=Datos!$D$14,(Datos!$D$14*Datos!$C$14),IF(K20&lt;=Datos!$D$14,(K20*Datos!$C$14)))</f>
        <v>2009</v>
      </c>
      <c r="M20" s="48">
        <f>IF(K20&gt;=Datos!$D$15,(Datos!$D$15*Datos!$C$15),IF(K20&lt;=Datos!$D$15,(K20*Datos!$C$15)))</f>
        <v>2128</v>
      </c>
      <c r="N20" s="42"/>
      <c r="O20" s="42">
        <f t="shared" si="15"/>
        <v>65863</v>
      </c>
      <c r="P20" s="239">
        <f>IF(O20&lt;=Datos!$G$7,"0",IF(O20&lt;=Datos!$G$8,(O20-Datos!$F$8)*Datos!$I$6,IF(O20&lt;=Datos!$G$9,Datos!$I$8+(O20-Datos!$F$9)*Datos!$J$6,IF(O20&gt;=Datos!$F$10,(Datos!$I$8+Datos!$J$8)+(O20-Datos!$F$10)*Datos!$K$6))))</f>
        <v>5368.4756666666663</v>
      </c>
      <c r="Q20" s="42">
        <f>IFERROR(VLOOKUP(C20,[1]Hoja1!$D$5:$E$58,2,FALSE),0)</f>
        <v>0</v>
      </c>
      <c r="R20" s="238">
        <v>25</v>
      </c>
      <c r="S20" s="42"/>
      <c r="T20" s="42">
        <f t="shared" si="16"/>
        <v>9530.4756666666653</v>
      </c>
      <c r="U20" s="42">
        <f t="shared" si="17"/>
        <v>60469.524333333335</v>
      </c>
      <c r="V20" s="196"/>
      <c r="W20" s="197">
        <v>44743</v>
      </c>
      <c r="X20" s="194"/>
    </row>
    <row r="21" spans="1:24" ht="16.5" customHeight="1" x14ac:dyDescent="0.25">
      <c r="A21" s="318"/>
      <c r="B21" s="310">
        <v>15</v>
      </c>
      <c r="C21" s="195" t="s">
        <v>1029</v>
      </c>
      <c r="D21" s="194" t="s">
        <v>1030</v>
      </c>
      <c r="E21" s="194" t="s">
        <v>85</v>
      </c>
      <c r="F21" s="194" t="s">
        <v>914</v>
      </c>
      <c r="G21" s="195">
        <v>1</v>
      </c>
      <c r="H21" s="108" t="s">
        <v>1831</v>
      </c>
      <c r="I21" s="194" t="s">
        <v>1062</v>
      </c>
      <c r="J21" s="194" t="s">
        <v>1031</v>
      </c>
      <c r="K21" s="59">
        <v>60000</v>
      </c>
      <c r="L21" s="48">
        <f>IF(K21&gt;=Datos!$D$14,(Datos!$D$14*Datos!$C$14),IF(K21&lt;=Datos!$D$14,(K21*Datos!$C$14)))</f>
        <v>1722</v>
      </c>
      <c r="M21" s="48">
        <f>IF(K21&gt;=Datos!$D$15,(Datos!$D$15*Datos!$C$15),IF(K21&lt;=Datos!$D$15,(K21*Datos!$C$15)))</f>
        <v>1824</v>
      </c>
      <c r="N21" s="213"/>
      <c r="O21" s="42">
        <f t="shared" si="3"/>
        <v>56454</v>
      </c>
      <c r="P21" s="239">
        <f>IF(O21&lt;=Datos!$G$7,"0",IF(O21&lt;=Datos!$G$8,(O21-Datos!$F$8)*Datos!$I$6,IF(O21&lt;=Datos!$G$9,Datos!$I$8+(O21-Datos!$F$9)*Datos!$J$6,IF(O21&gt;=Datos!$F$10,(Datos!$I$8+Datos!$J$8)+(O21-Datos!$F$10)*Datos!$K$6))))</f>
        <v>3486.6756666666661</v>
      </c>
      <c r="Q21" s="42">
        <f>IFERROR(VLOOKUP(C21,[1]Hoja1!$D$5:$E$58,2,FALSE),0)</f>
        <v>0</v>
      </c>
      <c r="R21" s="238">
        <v>25</v>
      </c>
      <c r="S21" s="42"/>
      <c r="T21" s="42">
        <f t="shared" si="4"/>
        <v>7057.6756666666661</v>
      </c>
      <c r="U21" s="42">
        <f t="shared" si="5"/>
        <v>52942.324333333338</v>
      </c>
      <c r="V21" s="196"/>
      <c r="W21" s="197">
        <v>44774</v>
      </c>
      <c r="X21" s="194"/>
    </row>
    <row r="22" spans="1:24" ht="16.5" customHeight="1" x14ac:dyDescent="0.25">
      <c r="A22" s="318"/>
      <c r="B22" s="310">
        <v>16</v>
      </c>
      <c r="C22" s="195" t="s">
        <v>1801</v>
      </c>
      <c r="D22" s="194" t="s">
        <v>1802</v>
      </c>
      <c r="E22" s="194" t="s">
        <v>85</v>
      </c>
      <c r="F22" s="194" t="s">
        <v>914</v>
      </c>
      <c r="G22" s="195">
        <v>1</v>
      </c>
      <c r="H22" s="287" t="s">
        <v>1809</v>
      </c>
      <c r="I22" s="194" t="s">
        <v>1187</v>
      </c>
      <c r="J22" s="194" t="s">
        <v>1788</v>
      </c>
      <c r="K22" s="59">
        <v>65000</v>
      </c>
      <c r="L22" s="48">
        <f>IF(K22&gt;=Datos!$D$14,(Datos!$D$14*Datos!$C$14),IF(K22&lt;=Datos!$D$14,(K22*Datos!$C$14)))</f>
        <v>1865.5</v>
      </c>
      <c r="M22" s="48">
        <f>IF(K22&gt;=Datos!$D$15,(Datos!$D$15*Datos!$C$15),IF(K22&lt;=Datos!$D$15,(K22*Datos!$C$15)))</f>
        <v>1976</v>
      </c>
      <c r="N22" s="42"/>
      <c r="O22" s="42">
        <f t="shared" si="3"/>
        <v>61158.5</v>
      </c>
      <c r="P22" s="239">
        <f>IF(O22&lt;=Datos!$G$7,"0",IF(O22&lt;=Datos!$G$8,(O22-Datos!$F$8)*Datos!$I$6,IF(O22&lt;=Datos!$G$9,Datos!$I$8+(O22-Datos!$F$9)*Datos!$J$6,IF(O22&gt;=Datos!$F$10,(Datos!$I$8+Datos!$J$8)+(O22-Datos!$F$10)*Datos!$K$6))))</f>
        <v>4427.5756666666657</v>
      </c>
      <c r="Q22" s="42">
        <f>IFERROR(VLOOKUP(C22,[1]Hoja1!$D$5:$E$58,2,FALSE),0)</f>
        <v>0</v>
      </c>
      <c r="R22" s="238">
        <v>25</v>
      </c>
      <c r="S22" s="42"/>
      <c r="T22" s="42">
        <f t="shared" si="4"/>
        <v>8294.0756666666657</v>
      </c>
      <c r="U22" s="42">
        <f t="shared" si="5"/>
        <v>56705.924333333336</v>
      </c>
      <c r="V22" s="196">
        <v>9607660892</v>
      </c>
      <c r="W22" s="197">
        <v>45597</v>
      </c>
      <c r="X22" s="194"/>
    </row>
    <row r="23" spans="1:24" ht="16.5" customHeight="1" x14ac:dyDescent="0.25">
      <c r="A23" s="318"/>
      <c r="B23" s="310">
        <v>17</v>
      </c>
      <c r="C23" s="195" t="s">
        <v>1886</v>
      </c>
      <c r="D23" s="194" t="s">
        <v>1887</v>
      </c>
      <c r="E23" s="194" t="s">
        <v>85</v>
      </c>
      <c r="F23" s="194" t="s">
        <v>914</v>
      </c>
      <c r="G23" s="195">
        <v>5</v>
      </c>
      <c r="H23" s="287" t="s">
        <v>1383</v>
      </c>
      <c r="I23" s="194" t="s">
        <v>1062</v>
      </c>
      <c r="J23" s="194" t="s">
        <v>1520</v>
      </c>
      <c r="K23" s="59">
        <v>35000</v>
      </c>
      <c r="L23" s="48">
        <f>IF(K23&gt;=Datos!$D$14,(Datos!$D$14*Datos!$C$14),IF(K23&lt;=Datos!$D$14,(K23*Datos!$C$14)))</f>
        <v>1004.5</v>
      </c>
      <c r="M23" s="48">
        <f>IF(K23&gt;=Datos!$D$15,(Datos!$D$15*Datos!$C$15),IF(K23&lt;=Datos!$D$15,(K23*Datos!$C$15)))</f>
        <v>1064</v>
      </c>
      <c r="N23" s="42"/>
      <c r="O23" s="42">
        <f t="shared" ref="O23" si="18">+K23-(L23+M23+N23)</f>
        <v>32931.5</v>
      </c>
      <c r="P23" s="239" t="str">
        <f>IF(O23&lt;=Datos!$G$7,"0",IF(O23&lt;=Datos!$G$8,(O23-Datos!$F$8)*Datos!$I$6,IF(O23&lt;=Datos!$G$9,Datos!$I$8+(O23-Datos!$F$9)*Datos!$J$6,IF(O23&gt;=Datos!$F$10,(Datos!$I$8+Datos!$J$8)+(O23-Datos!$F$10)*Datos!$K$6))))</f>
        <v>0</v>
      </c>
      <c r="Q23" s="42">
        <f>IFERROR(VLOOKUP(C23,[1]Hoja1!$D$5:$E$58,2,FALSE),0)</f>
        <v>0</v>
      </c>
      <c r="R23" s="238">
        <v>25</v>
      </c>
      <c r="S23" s="42"/>
      <c r="T23" s="42">
        <f t="shared" ref="T23" si="19">SUM(P23:R23)+(L23+M23+N23)-S23</f>
        <v>2093.5</v>
      </c>
      <c r="U23" s="42">
        <f t="shared" ref="U23" si="20">+K23-T23</f>
        <v>32906.5</v>
      </c>
      <c r="V23" s="196">
        <v>9607759061</v>
      </c>
      <c r="W23" s="197">
        <v>45627</v>
      </c>
      <c r="X23" s="194"/>
    </row>
    <row r="24" spans="1:24" ht="16.5" customHeight="1" x14ac:dyDescent="0.25">
      <c r="A24" s="318"/>
      <c r="B24" s="310">
        <v>18</v>
      </c>
      <c r="C24" s="195" t="s">
        <v>1673</v>
      </c>
      <c r="D24" s="194" t="s">
        <v>1674</v>
      </c>
      <c r="E24" s="194" t="s">
        <v>85</v>
      </c>
      <c r="F24" s="194" t="s">
        <v>914</v>
      </c>
      <c r="G24" s="195">
        <v>4</v>
      </c>
      <c r="H24" s="287" t="s">
        <v>1206</v>
      </c>
      <c r="I24" s="194" t="s">
        <v>1060</v>
      </c>
      <c r="J24" s="194" t="s">
        <v>1588</v>
      </c>
      <c r="K24" s="59">
        <v>60000</v>
      </c>
      <c r="L24" s="48">
        <f>IF(K24&gt;=Datos!$D$14,(Datos!$D$14*Datos!$C$14),IF(K24&lt;=Datos!$D$14,(K24*Datos!$C$14)))</f>
        <v>1722</v>
      </c>
      <c r="M24" s="48">
        <f>IF(K24&gt;=Datos!$D$15,(Datos!$D$15*Datos!$C$15),IF(K24&lt;=Datos!$D$15,(K24*Datos!$C$15)))</f>
        <v>1824</v>
      </c>
      <c r="N24" s="42"/>
      <c r="O24" s="42">
        <f t="shared" si="3"/>
        <v>56454</v>
      </c>
      <c r="P24" s="239">
        <f>IF(O24&lt;=Datos!$G$7,"0",IF(O24&lt;=Datos!$G$8,(O24-Datos!$F$8)*Datos!$I$6,IF(O24&lt;=Datos!$G$9,Datos!$I$8+(O24-Datos!$F$9)*Datos!$J$6,IF(O24&gt;=Datos!$F$10,(Datos!$I$8+Datos!$J$8)+(O24-Datos!$F$10)*Datos!$K$6))))</f>
        <v>3486.6756666666661</v>
      </c>
      <c r="Q24" s="42">
        <f>IFERROR(VLOOKUP(C24,[1]Hoja1!$D$5:$E$58,2,FALSE),0)</f>
        <v>0</v>
      </c>
      <c r="R24" s="238">
        <v>25</v>
      </c>
      <c r="S24" s="42"/>
      <c r="T24" s="42">
        <f t="shared" si="4"/>
        <v>7057.6756666666661</v>
      </c>
      <c r="U24" s="42">
        <f t="shared" si="5"/>
        <v>52942.324333333338</v>
      </c>
      <c r="V24" s="196">
        <v>9607405798</v>
      </c>
      <c r="W24" s="197">
        <v>45536</v>
      </c>
      <c r="X24" s="194"/>
    </row>
    <row r="25" spans="1:24" ht="16.5" customHeight="1" x14ac:dyDescent="0.25">
      <c r="A25" s="318"/>
      <c r="B25" s="310">
        <v>19</v>
      </c>
      <c r="C25" s="195" t="s">
        <v>1894</v>
      </c>
      <c r="D25" s="194" t="s">
        <v>1895</v>
      </c>
      <c r="E25" s="194" t="s">
        <v>85</v>
      </c>
      <c r="F25" s="194" t="s">
        <v>914</v>
      </c>
      <c r="G25" s="195">
        <v>5</v>
      </c>
      <c r="H25" s="287" t="s">
        <v>1383</v>
      </c>
      <c r="I25" s="194" t="s">
        <v>1062</v>
      </c>
      <c r="J25" s="194" t="s">
        <v>1520</v>
      </c>
      <c r="K25" s="59">
        <v>35000</v>
      </c>
      <c r="L25" s="48">
        <f>IF(K25&gt;=Datos!$D$14,(Datos!$D$14*Datos!$C$14),IF(K25&lt;=Datos!$D$14,(K25*Datos!$C$14)))</f>
        <v>1004.5</v>
      </c>
      <c r="M25" s="48">
        <f>IF(K25&gt;=Datos!$D$15,(Datos!$D$15*Datos!$C$15),IF(K25&lt;=Datos!$D$15,(K25*Datos!$C$15)))</f>
        <v>1064</v>
      </c>
      <c r="N25" s="42"/>
      <c r="O25" s="42">
        <f t="shared" ref="O25" si="21">+K25-(L25+M25+N25)</f>
        <v>32931.5</v>
      </c>
      <c r="P25" s="239" t="str">
        <f>IF(O25&lt;=Datos!$G$7,"0",IF(O25&lt;=Datos!$G$8,(O25-Datos!$F$8)*Datos!$I$6,IF(O25&lt;=Datos!$G$9,Datos!$I$8+(O25-Datos!$F$9)*Datos!$J$6,IF(O25&gt;=Datos!$F$10,(Datos!$I$8+Datos!$J$8)+(O25-Datos!$F$10)*Datos!$K$6))))</f>
        <v>0</v>
      </c>
      <c r="Q25" s="42">
        <f>IFERROR(VLOOKUP(C25,[1]Hoja1!$D$5:$E$58,2,FALSE),0)</f>
        <v>0</v>
      </c>
      <c r="R25" s="238">
        <v>25</v>
      </c>
      <c r="S25" s="42"/>
      <c r="T25" s="42">
        <f t="shared" ref="T25" si="22">SUM(P25:R25)+(L25+M25+N25)-S25</f>
        <v>2093.5</v>
      </c>
      <c r="U25" s="42">
        <f t="shared" ref="U25" si="23">+K25-T25</f>
        <v>32906.5</v>
      </c>
      <c r="V25" s="196">
        <v>9607759045</v>
      </c>
      <c r="W25" s="197">
        <v>45627</v>
      </c>
      <c r="X25" s="194"/>
    </row>
    <row r="26" spans="1:24" ht="16.5" customHeight="1" x14ac:dyDescent="0.25">
      <c r="A26" s="318"/>
      <c r="B26" s="310">
        <v>20</v>
      </c>
      <c r="C26" s="195" t="s">
        <v>1896</v>
      </c>
      <c r="D26" s="194" t="s">
        <v>1897</v>
      </c>
      <c r="E26" s="194" t="s">
        <v>85</v>
      </c>
      <c r="F26" s="194" t="s">
        <v>914</v>
      </c>
      <c r="G26" s="195">
        <v>5</v>
      </c>
      <c r="H26" s="287" t="s">
        <v>1383</v>
      </c>
      <c r="I26" s="194" t="s">
        <v>1062</v>
      </c>
      <c r="J26" s="194" t="s">
        <v>1520</v>
      </c>
      <c r="K26" s="59">
        <v>35000</v>
      </c>
      <c r="L26" s="48">
        <f>IF(K26&gt;=Datos!$D$14,(Datos!$D$14*Datos!$C$14),IF(K26&lt;=Datos!$D$14,(K26*Datos!$C$14)))</f>
        <v>1004.5</v>
      </c>
      <c r="M26" s="48">
        <f>IF(K26&gt;=Datos!$D$15,(Datos!$D$15*Datos!$C$15),IF(K26&lt;=Datos!$D$15,(K26*Datos!$C$15)))</f>
        <v>1064</v>
      </c>
      <c r="N26" s="42"/>
      <c r="O26" s="42">
        <f t="shared" ref="O26" si="24">+K26-(L26+M26+N26)</f>
        <v>32931.5</v>
      </c>
      <c r="P26" s="239" t="str">
        <f>IF(O26&lt;=Datos!$G$7,"0",IF(O26&lt;=Datos!$G$8,(O26-Datos!$F$8)*Datos!$I$6,IF(O26&lt;=Datos!$G$9,Datos!$I$8+(O26-Datos!$F$9)*Datos!$J$6,IF(O26&gt;=Datos!$F$10,(Datos!$I$8+Datos!$J$8)+(O26-Datos!$F$10)*Datos!$K$6))))</f>
        <v>0</v>
      </c>
      <c r="Q26" s="42">
        <f>IFERROR(VLOOKUP(C26,[1]Hoja1!$D$5:$E$58,2,FALSE),0)</f>
        <v>0</v>
      </c>
      <c r="R26" s="238">
        <v>25</v>
      </c>
      <c r="S26" s="42"/>
      <c r="T26" s="42">
        <f t="shared" ref="T26" si="25">SUM(P26:R26)+(L26+M26+N26)-S26</f>
        <v>2093.5</v>
      </c>
      <c r="U26" s="42">
        <f t="shared" ref="U26" si="26">+K26-T26</f>
        <v>32906.5</v>
      </c>
      <c r="V26" s="196">
        <v>9607759053</v>
      </c>
      <c r="W26" s="197">
        <v>45627</v>
      </c>
      <c r="X26" s="194"/>
    </row>
    <row r="27" spans="1:24" ht="16.5" customHeight="1" x14ac:dyDescent="0.25">
      <c r="A27" s="318"/>
      <c r="B27" s="310">
        <v>21</v>
      </c>
      <c r="C27" s="195" t="s">
        <v>1876</v>
      </c>
      <c r="D27" s="194" t="s">
        <v>1877</v>
      </c>
      <c r="E27" s="194" t="s">
        <v>86</v>
      </c>
      <c r="F27" s="194" t="s">
        <v>914</v>
      </c>
      <c r="G27" s="195">
        <v>1</v>
      </c>
      <c r="H27" s="287" t="s">
        <v>1502</v>
      </c>
      <c r="I27" s="194" t="s">
        <v>1062</v>
      </c>
      <c r="J27" s="194" t="s">
        <v>1930</v>
      </c>
      <c r="K27" s="59">
        <v>70000</v>
      </c>
      <c r="L27" s="48">
        <f>IF(K27&gt;=Datos!$D$14,(Datos!$D$14*Datos!$C$14),IF(K27&lt;=Datos!$D$14,(K27*Datos!$C$14)))</f>
        <v>2009</v>
      </c>
      <c r="M27" s="48">
        <f>IF(K27&gt;=Datos!$D$15,(Datos!$D$15*Datos!$C$15),IF(K27&lt;=Datos!$D$15,(K27*Datos!$C$15)))</f>
        <v>2128</v>
      </c>
      <c r="N27" s="42"/>
      <c r="O27" s="42">
        <f t="shared" ref="O27" si="27">+K27-(L27+M27+N27)</f>
        <v>65863</v>
      </c>
      <c r="P27" s="239">
        <f>IF(O27&lt;=Datos!$G$7,"0",IF(O27&lt;=Datos!$G$8,(O27-Datos!$F$8)*Datos!$I$6,IF(O27&lt;=Datos!$G$9,Datos!$I$8+(O27-Datos!$F$9)*Datos!$J$6,IF(O27&gt;=Datos!$F$10,(Datos!$I$8+Datos!$J$8)+(O27-Datos!$F$10)*Datos!$K$6))))</f>
        <v>5368.4756666666663</v>
      </c>
      <c r="Q27" s="42">
        <f>IFERROR(VLOOKUP(C27,[1]Hoja1!$D$5:$E$58,2,FALSE),0)</f>
        <v>0</v>
      </c>
      <c r="R27" s="238">
        <v>25</v>
      </c>
      <c r="S27" s="42"/>
      <c r="T27" s="42">
        <f t="shared" ref="T27" si="28">SUM(P27:R27)+(L27+M27+N27)-S27</f>
        <v>9530.4756666666653</v>
      </c>
      <c r="U27" s="42">
        <f t="shared" ref="U27" si="29">+K27-T27</f>
        <v>60469.524333333335</v>
      </c>
      <c r="V27" s="196">
        <v>9607759065</v>
      </c>
      <c r="W27" s="197">
        <v>45627</v>
      </c>
      <c r="X27" s="194"/>
    </row>
    <row r="28" spans="1:24" ht="16.5" customHeight="1" x14ac:dyDescent="0.25">
      <c r="A28" s="318"/>
      <c r="B28" s="310">
        <v>22</v>
      </c>
      <c r="C28" s="195" t="s">
        <v>1140</v>
      </c>
      <c r="D28" s="194" t="s">
        <v>1141</v>
      </c>
      <c r="E28" s="194" t="s">
        <v>85</v>
      </c>
      <c r="F28" s="194" t="s">
        <v>914</v>
      </c>
      <c r="G28" s="195">
        <v>1</v>
      </c>
      <c r="H28" s="287" t="s">
        <v>1826</v>
      </c>
      <c r="I28" s="194" t="s">
        <v>1187</v>
      </c>
      <c r="J28" s="194" t="s">
        <v>1791</v>
      </c>
      <c r="K28" s="59">
        <v>145000</v>
      </c>
      <c r="L28" s="48">
        <f>IF(K28&gt;=Datos!$D$14,(Datos!$D$14*Datos!$C$14),IF(K28&lt;=Datos!$D$14,(K28*Datos!$C$14)))</f>
        <v>4161.5</v>
      </c>
      <c r="M28" s="48">
        <f>IF(K28&gt;=Datos!$D$15,(Datos!$D$15*Datos!$C$15),IF(K28&lt;=Datos!$D$15,(K28*Datos!$C$15)))</f>
        <v>4408</v>
      </c>
      <c r="N28" s="42"/>
      <c r="O28" s="42">
        <f t="shared" si="3"/>
        <v>136430.5</v>
      </c>
      <c r="P28" s="239">
        <f>IF(O28&lt;=Datos!$G$7,"0",IF(O28&lt;=Datos!$G$8,(O28-Datos!$F$8)*Datos!$I$6,IF(O28&lt;=Datos!$G$9,Datos!$I$8+(O28-Datos!$F$9)*Datos!$J$6,IF(O28&gt;=Datos!$F$10,(Datos!$I$8+Datos!$J$8)+(O28-Datos!$F$10)*Datos!$K$6))))</f>
        <v>22690.485666666667</v>
      </c>
      <c r="Q28" s="42">
        <f>IFERROR(VLOOKUP(C28,[1]Hoja1!$D$5:$E$58,2,FALSE),0)</f>
        <v>0</v>
      </c>
      <c r="R28" s="238">
        <v>25</v>
      </c>
      <c r="S28" s="42"/>
      <c r="T28" s="42">
        <f t="shared" si="4"/>
        <v>31284.985666666667</v>
      </c>
      <c r="U28" s="42">
        <f t="shared" si="5"/>
        <v>113715.01433333333</v>
      </c>
      <c r="V28" s="196">
        <v>9606135372</v>
      </c>
      <c r="W28" s="197">
        <v>45170</v>
      </c>
      <c r="X28" s="194"/>
    </row>
    <row r="29" spans="1:24" ht="16.5" customHeight="1" x14ac:dyDescent="0.25">
      <c r="A29" s="318"/>
      <c r="B29" s="310">
        <v>23</v>
      </c>
      <c r="C29" s="195" t="s">
        <v>1343</v>
      </c>
      <c r="D29" s="194" t="s">
        <v>1344</v>
      </c>
      <c r="E29" s="194" t="s">
        <v>86</v>
      </c>
      <c r="F29" s="194" t="s">
        <v>914</v>
      </c>
      <c r="G29" s="195">
        <v>1</v>
      </c>
      <c r="H29" s="287" t="s">
        <v>1831</v>
      </c>
      <c r="I29" s="194" t="s">
        <v>1187</v>
      </c>
      <c r="J29" s="194" t="s">
        <v>1345</v>
      </c>
      <c r="K29" s="59">
        <v>60000</v>
      </c>
      <c r="L29" s="48">
        <f>IF(K29&gt;=Datos!$D$14,(Datos!$D$14*Datos!$C$14),IF(K29&lt;=Datos!$D$14,(K29*Datos!$C$14)))</f>
        <v>1722</v>
      </c>
      <c r="M29" s="48">
        <f>IF(K29&gt;=Datos!$D$15,(Datos!$D$15*Datos!$C$15),IF(K29&lt;=Datos!$D$15,(K29*Datos!$C$15)))</f>
        <v>1824</v>
      </c>
      <c r="N29" s="42"/>
      <c r="O29" s="42">
        <f t="shared" si="3"/>
        <v>56454</v>
      </c>
      <c r="P29" s="239">
        <f>IF(O29&lt;=Datos!$G$7,"0",IF(O29&lt;=Datos!$G$8,(O29-Datos!$F$8)*Datos!$I$6,IF(O29&lt;=Datos!$G$9,Datos!$I$8+(O29-Datos!$F$9)*Datos!$J$6,IF(O29&gt;=Datos!$F$10,(Datos!$I$8+Datos!$J$8)+(O29-Datos!$F$10)*Datos!$K$6))))</f>
        <v>3486.6756666666661</v>
      </c>
      <c r="Q29" s="42">
        <f>IFERROR(VLOOKUP(C29,[1]Hoja1!$D$5:$E$58,2,FALSE),0)</f>
        <v>0</v>
      </c>
      <c r="R29" s="238">
        <v>25</v>
      </c>
      <c r="S29" s="42"/>
      <c r="T29" s="42">
        <f t="shared" si="4"/>
        <v>7057.6756666666661</v>
      </c>
      <c r="U29" s="42">
        <f t="shared" si="5"/>
        <v>52942.324333333338</v>
      </c>
      <c r="V29" s="196"/>
      <c r="W29" s="197">
        <v>45170</v>
      </c>
      <c r="X29" s="194"/>
    </row>
    <row r="30" spans="1:24" ht="16.5" customHeight="1" x14ac:dyDescent="0.25">
      <c r="A30" s="318"/>
      <c r="B30" s="310">
        <v>24</v>
      </c>
      <c r="C30" s="195" t="s">
        <v>1749</v>
      </c>
      <c r="D30" s="194" t="s">
        <v>1750</v>
      </c>
      <c r="E30" s="194" t="s">
        <v>85</v>
      </c>
      <c r="F30" s="194" t="s">
        <v>914</v>
      </c>
      <c r="G30" s="195">
        <v>1</v>
      </c>
      <c r="H30" s="287" t="s">
        <v>1771</v>
      </c>
      <c r="I30" s="194" t="s">
        <v>1187</v>
      </c>
      <c r="J30" s="194" t="s">
        <v>1753</v>
      </c>
      <c r="K30" s="59">
        <v>115000</v>
      </c>
      <c r="L30" s="48">
        <f>IF(K30&gt;=Datos!$D$14,(Datos!$D$14*Datos!$C$14),IF(K30&lt;=Datos!$D$14,(K30*Datos!$C$14)))</f>
        <v>3300.5</v>
      </c>
      <c r="M30" s="48">
        <f>IF(K30&gt;=Datos!$D$15,(Datos!$D$15*Datos!$C$15),IF(K30&lt;=Datos!$D$15,(K30*Datos!$C$15)))</f>
        <v>3496</v>
      </c>
      <c r="N30" s="42"/>
      <c r="O30" s="42">
        <f t="shared" ref="O30:O33" si="30">+K30-(L30+M30+N30)</f>
        <v>108203.5</v>
      </c>
      <c r="P30" s="239">
        <f>IF(O30&lt;=Datos!$G$7,"0",IF(O30&lt;=Datos!$G$8,(O30-Datos!$F$8)*Datos!$I$6,IF(O30&lt;=Datos!$G$9,Datos!$I$8+(O30-Datos!$F$9)*Datos!$J$6,IF(O30&gt;=Datos!$F$10,(Datos!$I$8+Datos!$J$8)+(O30-Datos!$F$10)*Datos!$K$6))))</f>
        <v>15633.735666666667</v>
      </c>
      <c r="Q30" s="42">
        <f>IFERROR(VLOOKUP(C30,[1]Hoja1!$D$5:$E$58,2,FALSE),0)</f>
        <v>0</v>
      </c>
      <c r="R30" s="238">
        <v>25</v>
      </c>
      <c r="S30" s="42"/>
      <c r="T30" s="42">
        <f t="shared" ref="T30:T33" si="31">SUM(P30:R30)+(L30+M30+N30)-S30</f>
        <v>22455.235666666667</v>
      </c>
      <c r="U30" s="42">
        <f t="shared" ref="U30:U33" si="32">+K30-T30</f>
        <v>92544.764333333325</v>
      </c>
      <c r="V30" s="196">
        <v>9607572578</v>
      </c>
      <c r="W30" s="197">
        <v>45566</v>
      </c>
      <c r="X30" s="194"/>
    </row>
    <row r="31" spans="1:24" ht="16.5" customHeight="1" x14ac:dyDescent="0.25">
      <c r="A31" s="318"/>
      <c r="B31" s="310">
        <v>25</v>
      </c>
      <c r="C31" s="195" t="s">
        <v>1880</v>
      </c>
      <c r="D31" s="194" t="s">
        <v>1881</v>
      </c>
      <c r="E31" s="194" t="s">
        <v>85</v>
      </c>
      <c r="F31" s="194" t="s">
        <v>914</v>
      </c>
      <c r="G31" s="195">
        <v>6</v>
      </c>
      <c r="H31" s="287" t="s">
        <v>1662</v>
      </c>
      <c r="I31" s="194" t="s">
        <v>1062</v>
      </c>
      <c r="J31" s="194" t="s">
        <v>972</v>
      </c>
      <c r="K31" s="59">
        <v>60000</v>
      </c>
      <c r="L31" s="48">
        <f>IF(K31&gt;=Datos!$D$14,(Datos!$D$14*Datos!$C$14),IF(K31&lt;=Datos!$D$14,(K31*Datos!$C$14)))</f>
        <v>1722</v>
      </c>
      <c r="M31" s="48">
        <f>IF(K31&gt;=Datos!$D$15,(Datos!$D$15*Datos!$C$15),IF(K31&lt;=Datos!$D$15,(K31*Datos!$C$15)))</f>
        <v>1824</v>
      </c>
      <c r="N31" s="42"/>
      <c r="O31" s="42">
        <f t="shared" ref="O31" si="33">+K31-(L31+M31+N31)</f>
        <v>56454</v>
      </c>
      <c r="P31" s="239">
        <f>IF(O31&lt;=Datos!$G$7,"0",IF(O31&lt;=Datos!$G$8,(O31-Datos!$F$8)*Datos!$I$6,IF(O31&lt;=Datos!$G$9,Datos!$I$8+(O31-Datos!$F$9)*Datos!$J$6,IF(O31&gt;=Datos!$F$10,(Datos!$I$8+Datos!$J$8)+(O31-Datos!$F$10)*Datos!$K$6))))</f>
        <v>3486.6756666666661</v>
      </c>
      <c r="Q31" s="42">
        <f>IFERROR(VLOOKUP(C31,[1]Hoja1!$D$5:$E$58,2,FALSE),0)</f>
        <v>0</v>
      </c>
      <c r="R31" s="238">
        <v>25</v>
      </c>
      <c r="S31" s="42"/>
      <c r="T31" s="42">
        <f t="shared" ref="T31" si="34">SUM(P31:R31)+(L31+M31+N31)-S31</f>
        <v>7057.6756666666661</v>
      </c>
      <c r="U31" s="42">
        <f t="shared" ref="U31" si="35">+K31-T31</f>
        <v>52942.324333333338</v>
      </c>
      <c r="V31" s="196">
        <v>9607759025</v>
      </c>
      <c r="W31" s="197">
        <v>45627</v>
      </c>
      <c r="X31" s="194"/>
    </row>
    <row r="32" spans="1:24" ht="16.5" customHeight="1" x14ac:dyDescent="0.25">
      <c r="A32" s="318"/>
      <c r="B32" s="310">
        <v>26</v>
      </c>
      <c r="C32" s="195" t="s">
        <v>1803</v>
      </c>
      <c r="D32" s="194" t="s">
        <v>1804</v>
      </c>
      <c r="E32" s="194" t="s">
        <v>85</v>
      </c>
      <c r="F32" s="194" t="s">
        <v>914</v>
      </c>
      <c r="G32" s="195">
        <v>1</v>
      </c>
      <c r="H32" s="287" t="s">
        <v>1156</v>
      </c>
      <c r="I32" s="194" t="s">
        <v>1187</v>
      </c>
      <c r="J32" s="194" t="s">
        <v>858</v>
      </c>
      <c r="K32" s="59">
        <v>65000</v>
      </c>
      <c r="L32" s="48">
        <f>IF(K32&gt;=Datos!$D$14,(Datos!$D$14*Datos!$C$14),IF(K32&lt;=Datos!$D$14,(K32*Datos!$C$14)))</f>
        <v>1865.5</v>
      </c>
      <c r="M32" s="48">
        <f>IF(K32&gt;=Datos!$D$15,(Datos!$D$15*Datos!$C$15),IF(K32&lt;=Datos!$D$15,(K32*Datos!$C$15)))</f>
        <v>1976</v>
      </c>
      <c r="N32" s="42"/>
      <c r="O32" s="42">
        <f t="shared" si="30"/>
        <v>61158.5</v>
      </c>
      <c r="P32" s="239">
        <f>IF(O32&lt;=Datos!$G$7,"0",IF(O32&lt;=Datos!$G$8,(O32-Datos!$F$8)*Datos!$I$6,IF(O32&lt;=Datos!$G$9,Datos!$I$8+(O32-Datos!$F$9)*Datos!$J$6,IF(O32&gt;=Datos!$F$10,(Datos!$I$8+Datos!$J$8)+(O32-Datos!$F$10)*Datos!$K$6))))</f>
        <v>4427.5756666666657</v>
      </c>
      <c r="Q32" s="42">
        <f>IFERROR(VLOOKUP(C32,[1]Hoja1!$D$5:$E$58,2,FALSE),0)</f>
        <v>0</v>
      </c>
      <c r="R32" s="238">
        <v>25</v>
      </c>
      <c r="S32" s="42"/>
      <c r="T32" s="42">
        <f t="shared" si="31"/>
        <v>8294.0756666666657</v>
      </c>
      <c r="U32" s="42">
        <f t="shared" si="32"/>
        <v>56705.924333333336</v>
      </c>
      <c r="V32" s="196">
        <v>9607660882</v>
      </c>
      <c r="W32" s="197">
        <v>45597</v>
      </c>
      <c r="X32" s="319"/>
    </row>
    <row r="33" spans="1:26" ht="16.5" customHeight="1" x14ac:dyDescent="0.25">
      <c r="A33" s="318"/>
      <c r="B33" s="310">
        <v>27</v>
      </c>
      <c r="C33" s="195" t="s">
        <v>1751</v>
      </c>
      <c r="D33" s="194" t="s">
        <v>1752</v>
      </c>
      <c r="E33" s="194" t="s">
        <v>85</v>
      </c>
      <c r="F33" s="194" t="s">
        <v>914</v>
      </c>
      <c r="G33" s="195">
        <v>1</v>
      </c>
      <c r="H33" s="287" t="s">
        <v>1502</v>
      </c>
      <c r="I33" s="194" t="s">
        <v>1067</v>
      </c>
      <c r="J33" s="194" t="s">
        <v>1607</v>
      </c>
      <c r="K33" s="59">
        <v>50000</v>
      </c>
      <c r="L33" s="48">
        <f>IF(K33&gt;=Datos!$D$14,(Datos!$D$14*Datos!$C$14),IF(K33&lt;=Datos!$D$14,(K33*Datos!$C$14)))</f>
        <v>1435</v>
      </c>
      <c r="M33" s="48">
        <f>IF(K33&gt;=Datos!$D$15,(Datos!$D$15*Datos!$C$15),IF(K33&lt;=Datos!$D$15,(K33*Datos!$C$15)))</f>
        <v>1520</v>
      </c>
      <c r="N33" s="42"/>
      <c r="O33" s="42">
        <f t="shared" si="30"/>
        <v>47045</v>
      </c>
      <c r="P33" s="239">
        <f>IF(O33&lt;=Datos!$G$7,"0",IF(O33&lt;=Datos!$G$8,(O33-Datos!$F$8)*Datos!$I$6,IF(O33&lt;=Datos!$G$9,Datos!$I$8+(O33-Datos!$F$9)*Datos!$J$6,IF(O33&gt;=Datos!$F$10,(Datos!$I$8+Datos!$J$8)+(O33-Datos!$F$10)*Datos!$K$6))))</f>
        <v>1853.9984999999997</v>
      </c>
      <c r="Q33" s="42">
        <f>IFERROR(VLOOKUP(C33,[1]Hoja1!$D$5:$E$58,2,FALSE),0)</f>
        <v>0</v>
      </c>
      <c r="R33" s="238">
        <v>25</v>
      </c>
      <c r="S33" s="42"/>
      <c r="T33" s="42">
        <f t="shared" si="31"/>
        <v>4833.9984999999997</v>
      </c>
      <c r="U33" s="42">
        <f t="shared" si="32"/>
        <v>45166.001499999998</v>
      </c>
      <c r="V33" s="196">
        <v>9607572582</v>
      </c>
      <c r="W33" s="197">
        <v>45566</v>
      </c>
      <c r="X33" s="194"/>
    </row>
    <row r="34" spans="1:26" ht="16.5" customHeight="1" x14ac:dyDescent="0.25">
      <c r="A34" s="318"/>
      <c r="B34" s="310">
        <v>28</v>
      </c>
      <c r="C34" s="195" t="s">
        <v>1660</v>
      </c>
      <c r="D34" s="194" t="s">
        <v>1661</v>
      </c>
      <c r="E34" s="194" t="s">
        <v>85</v>
      </c>
      <c r="F34" s="194" t="s">
        <v>914</v>
      </c>
      <c r="G34" s="195">
        <v>5</v>
      </c>
      <c r="H34" s="287" t="s">
        <v>1662</v>
      </c>
      <c r="I34" s="194" t="s">
        <v>1060</v>
      </c>
      <c r="J34" s="194" t="s">
        <v>972</v>
      </c>
      <c r="K34" s="59">
        <v>60000</v>
      </c>
      <c r="L34" s="48">
        <f>IF(K34&gt;=Datos!$D$14,(Datos!$D$14*Datos!$C$14),IF(K34&lt;=Datos!$D$14,(K34*Datos!$C$14)))</f>
        <v>1722</v>
      </c>
      <c r="M34" s="48">
        <f>IF(K34&gt;=Datos!$D$15,(Datos!$D$15*Datos!$C$15),IF(K34&lt;=Datos!$D$15,(K34*Datos!$C$15)))</f>
        <v>1824</v>
      </c>
      <c r="N34" s="42"/>
      <c r="O34" s="42">
        <f t="shared" si="3"/>
        <v>56454</v>
      </c>
      <c r="P34" s="239">
        <f>IF(O34&lt;=Datos!$G$7,"0",IF(O34&lt;=Datos!$G$8,(O34-Datos!$F$8)*Datos!$I$6,IF(O34&lt;=Datos!$G$9,Datos!$I$8+(O34-Datos!$F$9)*Datos!$J$6,IF(O34&gt;=Datos!$F$10,(Datos!$I$8+Datos!$J$8)+(O34-Datos!$F$10)*Datos!$K$6))))</f>
        <v>3486.6756666666661</v>
      </c>
      <c r="Q34" s="42">
        <v>0</v>
      </c>
      <c r="R34" s="238">
        <v>25</v>
      </c>
      <c r="S34" s="42"/>
      <c r="T34" s="42">
        <f t="shared" si="4"/>
        <v>7057.6756666666661</v>
      </c>
      <c r="U34" s="42">
        <f t="shared" si="5"/>
        <v>52942.324333333338</v>
      </c>
      <c r="V34" s="196">
        <v>9607405802</v>
      </c>
      <c r="W34" s="197">
        <v>45536</v>
      </c>
      <c r="X34" s="194"/>
    </row>
    <row r="35" spans="1:26" ht="16.5" customHeight="1" x14ac:dyDescent="0.25">
      <c r="A35" s="318"/>
      <c r="B35" s="310">
        <v>29</v>
      </c>
      <c r="C35" s="351" t="s">
        <v>1555</v>
      </c>
      <c r="D35" s="352" t="s">
        <v>1551</v>
      </c>
      <c r="E35" s="352" t="s">
        <v>85</v>
      </c>
      <c r="F35" s="352" t="s">
        <v>914</v>
      </c>
      <c r="G35" s="351">
        <v>1</v>
      </c>
      <c r="H35" s="362" t="s">
        <v>1213</v>
      </c>
      <c r="I35" s="352" t="s">
        <v>1067</v>
      </c>
      <c r="J35" s="352" t="s">
        <v>858</v>
      </c>
      <c r="K35" s="355">
        <v>34666.666666666664</v>
      </c>
      <c r="L35" s="356">
        <f>IF(K35&gt;=Datos!$D$14,(Datos!$D$14*Datos!$C$14),IF(K35&lt;=Datos!$D$14,(K35*Datos!$C$14)))</f>
        <v>994.93333333333328</v>
      </c>
      <c r="M35" s="356">
        <f>IF(K35&gt;=Datos!$D$15,(Datos!$D$15*Datos!$C$15),IF(K35&lt;=Datos!$D$15,(K35*Datos!$C$15)))</f>
        <v>1053.8666666666666</v>
      </c>
      <c r="N35" s="357"/>
      <c r="O35" s="357">
        <f t="shared" si="3"/>
        <v>32617.866666666665</v>
      </c>
      <c r="P35" s="376" t="str">
        <f>IF(O35&lt;=Datos!$G$7,"0",IF(O35&lt;=Datos!$G$8,(O35-Datos!$F$8)*Datos!$I$6,IF(O35&lt;=Datos!$G$9,Datos!$I$8+(O35-Datos!$F$9)*Datos!$J$6,IF(O35&gt;=Datos!$F$10,(Datos!$I$8+Datos!$J$8)+(O35-Datos!$F$10)*Datos!$K$6))))</f>
        <v>0</v>
      </c>
      <c r="Q35" s="357">
        <f>IFERROR(VLOOKUP(C35,[1]Hoja1!$D$5:$E$58,2,FALSE),0)</f>
        <v>0</v>
      </c>
      <c r="R35" s="363">
        <v>25</v>
      </c>
      <c r="S35" s="357"/>
      <c r="T35" s="357">
        <f t="shared" si="4"/>
        <v>2073.7999999999997</v>
      </c>
      <c r="U35" s="357">
        <f t="shared" si="5"/>
        <v>32592.866666666665</v>
      </c>
      <c r="V35" s="359">
        <v>9607065886</v>
      </c>
      <c r="W35" s="364">
        <v>45413</v>
      </c>
      <c r="X35" s="352"/>
    </row>
    <row r="36" spans="1:26" ht="16.5" customHeight="1" x14ac:dyDescent="0.25">
      <c r="A36" s="318"/>
      <c r="B36" s="310">
        <v>30</v>
      </c>
      <c r="C36" s="195" t="s">
        <v>1549</v>
      </c>
      <c r="D36" s="194" t="s">
        <v>1550</v>
      </c>
      <c r="E36" s="194" t="s">
        <v>85</v>
      </c>
      <c r="F36" s="194" t="s">
        <v>914</v>
      </c>
      <c r="G36" s="195">
        <v>5</v>
      </c>
      <c r="H36" s="287" t="s">
        <v>1210</v>
      </c>
      <c r="I36" s="194" t="s">
        <v>1060</v>
      </c>
      <c r="J36" s="194" t="s">
        <v>1554</v>
      </c>
      <c r="K36" s="59">
        <v>60000</v>
      </c>
      <c r="L36" s="48">
        <f>IF(K36&gt;=Datos!$D$14,(Datos!$D$14*Datos!$C$14),IF(K36&lt;=Datos!$D$14,(K36*Datos!$C$14)))</f>
        <v>1722</v>
      </c>
      <c r="M36" s="48">
        <f>IF(K36&gt;=Datos!$D$15,(Datos!$D$15*Datos!$C$15),IF(K36&lt;=Datos!$D$15,(K36*Datos!$C$15)))</f>
        <v>1824</v>
      </c>
      <c r="N36" s="42"/>
      <c r="O36" s="42">
        <f t="shared" si="3"/>
        <v>56454</v>
      </c>
      <c r="P36" s="239">
        <f>IF(O36&lt;=Datos!$G$7,"0",IF(O36&lt;=Datos!$G$8,(O36-Datos!$F$8)*Datos!$I$6,IF(O36&lt;=Datos!$G$9,Datos!$I$8+(O36-Datos!$F$9)*Datos!$J$6,IF(O36&gt;=Datos!$F$10,(Datos!$I$8+Datos!$J$8)+(O36-Datos!$F$10)*Datos!$K$6))))</f>
        <v>3486.6756666666661</v>
      </c>
      <c r="Q36" s="42">
        <f>IFERROR(VLOOKUP(C36,[1]Hoja1!$D$5:$E$58,2,FALSE),0)</f>
        <v>0</v>
      </c>
      <c r="R36" s="238">
        <v>25</v>
      </c>
      <c r="S36" s="42"/>
      <c r="T36" s="42">
        <f t="shared" si="4"/>
        <v>7057.6756666666661</v>
      </c>
      <c r="U36" s="42">
        <f t="shared" si="5"/>
        <v>52942.324333333338</v>
      </c>
      <c r="V36" s="196">
        <v>9607065887</v>
      </c>
      <c r="W36" s="197">
        <v>45413</v>
      </c>
      <c r="X36" s="194"/>
    </row>
    <row r="37" spans="1:26" ht="16.5" customHeight="1" x14ac:dyDescent="0.25">
      <c r="A37" s="318"/>
      <c r="B37" s="310">
        <v>31</v>
      </c>
      <c r="C37" s="195" t="s">
        <v>1504</v>
      </c>
      <c r="D37" s="194" t="s">
        <v>1505</v>
      </c>
      <c r="E37" s="194" t="s">
        <v>85</v>
      </c>
      <c r="F37" s="194" t="s">
        <v>914</v>
      </c>
      <c r="G37" s="195">
        <v>1</v>
      </c>
      <c r="H37" s="287" t="s">
        <v>1379</v>
      </c>
      <c r="I37" s="194" t="s">
        <v>1067</v>
      </c>
      <c r="J37" s="194" t="s">
        <v>1506</v>
      </c>
      <c r="K37" s="59">
        <v>60000</v>
      </c>
      <c r="L37" s="48">
        <f>IF(K37&gt;=Datos!$D$14,(Datos!$D$14*Datos!$C$14),IF(K37&lt;=Datos!$D$14,(K37*Datos!$C$14)))</f>
        <v>1722</v>
      </c>
      <c r="M37" s="48">
        <f>IF(K37&gt;=Datos!$D$15,(Datos!$D$15*Datos!$C$15),IF(K37&lt;=Datos!$D$15,(K37*Datos!$C$15)))</f>
        <v>1824</v>
      </c>
      <c r="N37" s="42"/>
      <c r="O37" s="42">
        <f t="shared" si="3"/>
        <v>56454</v>
      </c>
      <c r="P37" s="239">
        <f>IF(O37&lt;=Datos!$G$7,"0",IF(O37&lt;=Datos!$G$8,(O37-Datos!$F$8)*Datos!$I$6,IF(O37&lt;=Datos!$G$9,Datos!$I$8+(O37-Datos!$F$9)*Datos!$J$6,IF(O37&gt;=Datos!$F$10,(Datos!$I$8+Datos!$J$8)+(O37-Datos!$F$10)*Datos!$K$6))))</f>
        <v>3486.6756666666661</v>
      </c>
      <c r="Q37" s="42">
        <f>IFERROR(VLOOKUP(C37,[1]Hoja1!$D$5:$E$58,2,FALSE),0)</f>
        <v>0</v>
      </c>
      <c r="R37" s="238">
        <v>25</v>
      </c>
      <c r="S37" s="42"/>
      <c r="T37" s="42">
        <f t="shared" si="4"/>
        <v>7057.6756666666661</v>
      </c>
      <c r="U37" s="42">
        <f t="shared" si="5"/>
        <v>52942.324333333338</v>
      </c>
      <c r="V37" s="196">
        <v>9606708608</v>
      </c>
      <c r="W37" s="197">
        <v>45352</v>
      </c>
      <c r="X37" s="194"/>
    </row>
    <row r="38" spans="1:26" ht="16.5" customHeight="1" x14ac:dyDescent="0.25">
      <c r="A38" s="318"/>
      <c r="B38" s="310">
        <v>32</v>
      </c>
      <c r="C38" s="195" t="s">
        <v>1002</v>
      </c>
      <c r="D38" s="194" t="s">
        <v>1000</v>
      </c>
      <c r="E38" s="194" t="s">
        <v>85</v>
      </c>
      <c r="F38" s="194" t="s">
        <v>914</v>
      </c>
      <c r="G38" s="195">
        <v>1</v>
      </c>
      <c r="H38" s="287" t="s">
        <v>1575</v>
      </c>
      <c r="I38" s="194" t="s">
        <v>1187</v>
      </c>
      <c r="J38" s="194" t="s">
        <v>1325</v>
      </c>
      <c r="K38" s="59">
        <v>120000</v>
      </c>
      <c r="L38" s="48">
        <f>IF(K38&gt;=Datos!$D$14,(Datos!$D$14*Datos!$C$14),IF(K38&lt;=Datos!$D$14,(K38*Datos!$C$14)))</f>
        <v>3444</v>
      </c>
      <c r="M38" s="48">
        <f>IF(K38&gt;=Datos!$D$15,(Datos!$D$15*Datos!$C$15),IF(K38&lt;=Datos!$D$15,(K38*Datos!$C$15)))</f>
        <v>3648</v>
      </c>
      <c r="N38" s="42"/>
      <c r="O38" s="42">
        <f t="shared" si="3"/>
        <v>112908</v>
      </c>
      <c r="P38" s="239">
        <f>IF(O38&lt;=Datos!$G$7,"0",IF(O38&lt;=Datos!$G$8,(O38-Datos!$F$8)*Datos!$I$6,IF(O38&lt;=Datos!$G$9,Datos!$I$8+(O38-Datos!$F$9)*Datos!$J$6,IF(O38&gt;=Datos!$F$10,(Datos!$I$8+Datos!$J$8)+(O38-Datos!$F$10)*Datos!$K$6))))</f>
        <v>16809.860666666667</v>
      </c>
      <c r="Q38" s="42">
        <f>IFERROR(VLOOKUP(C38,[1]Hoja1!$D$5:$E$58,2,FALSE),0)</f>
        <v>0</v>
      </c>
      <c r="R38" s="238">
        <v>25</v>
      </c>
      <c r="S38" s="42"/>
      <c r="T38" s="42">
        <f t="shared" si="4"/>
        <v>23926.860666666667</v>
      </c>
      <c r="U38" s="42">
        <f t="shared" si="5"/>
        <v>96073.139333333325</v>
      </c>
      <c r="V38" s="196"/>
      <c r="W38" s="197">
        <v>44743</v>
      </c>
      <c r="X38" s="194"/>
    </row>
    <row r="39" spans="1:26" ht="16.5" customHeight="1" x14ac:dyDescent="0.25">
      <c r="A39" s="318"/>
      <c r="B39" s="310">
        <v>33</v>
      </c>
      <c r="C39" s="195" t="s">
        <v>1898</v>
      </c>
      <c r="D39" s="194" t="s">
        <v>1899</v>
      </c>
      <c r="E39" s="194" t="s">
        <v>86</v>
      </c>
      <c r="F39" s="194" t="s">
        <v>914</v>
      </c>
      <c r="G39" s="195">
        <v>5</v>
      </c>
      <c r="H39" s="287" t="s">
        <v>1383</v>
      </c>
      <c r="I39" s="194" t="s">
        <v>1062</v>
      </c>
      <c r="J39" s="194" t="s">
        <v>1929</v>
      </c>
      <c r="K39" s="59">
        <v>60000</v>
      </c>
      <c r="L39" s="48">
        <f>IF(K39&gt;=Datos!$D$14,(Datos!$D$14*Datos!$C$14),IF(K39&lt;=Datos!$D$14,(K39*Datos!$C$14)))</f>
        <v>1722</v>
      </c>
      <c r="M39" s="48">
        <f>IF(K39&gt;=Datos!$D$15,(Datos!$D$15*Datos!$C$15),IF(K39&lt;=Datos!$D$15,(K39*Datos!$C$15)))</f>
        <v>1824</v>
      </c>
      <c r="N39" s="42"/>
      <c r="O39" s="42">
        <f t="shared" ref="O39" si="36">+K39-(L39+M39+N39)</f>
        <v>56454</v>
      </c>
      <c r="P39" s="239">
        <f>IF(O39&lt;=Datos!$G$7,"0",IF(O39&lt;=Datos!$G$8,(O39-Datos!$F$8)*Datos!$I$6,IF(O39&lt;=Datos!$G$9,Datos!$I$8+(O39-Datos!$F$9)*Datos!$J$6,IF(O39&gt;=Datos!$F$10,(Datos!$I$8+Datos!$J$8)+(O39-Datos!$F$10)*Datos!$K$6))))</f>
        <v>3486.6756666666661</v>
      </c>
      <c r="Q39" s="42">
        <f>IFERROR(VLOOKUP(C39,[1]Hoja1!$D$5:$E$58,2,FALSE),0)</f>
        <v>0</v>
      </c>
      <c r="R39" s="238">
        <v>25</v>
      </c>
      <c r="S39" s="42"/>
      <c r="T39" s="42">
        <f t="shared" ref="T39" si="37">SUM(P39:R39)+(L39+M39+N39)-S39</f>
        <v>7057.6756666666661</v>
      </c>
      <c r="U39" s="42">
        <f t="shared" ref="U39" si="38">+K39-T39</f>
        <v>52942.324333333338</v>
      </c>
      <c r="V39" s="196">
        <v>9607759036</v>
      </c>
      <c r="W39" s="197">
        <v>45627</v>
      </c>
      <c r="X39" s="194"/>
    </row>
    <row r="40" spans="1:26" ht="16.5" customHeight="1" x14ac:dyDescent="0.25">
      <c r="A40" s="318"/>
      <c r="B40" s="310">
        <v>34</v>
      </c>
      <c r="C40" s="195" t="s">
        <v>1160</v>
      </c>
      <c r="D40" s="194" t="s">
        <v>1159</v>
      </c>
      <c r="E40" s="194" t="s">
        <v>86</v>
      </c>
      <c r="F40" s="194" t="s">
        <v>914</v>
      </c>
      <c r="G40" s="195">
        <v>1</v>
      </c>
      <c r="H40" s="287" t="s">
        <v>1158</v>
      </c>
      <c r="I40" s="194" t="s">
        <v>1062</v>
      </c>
      <c r="J40" s="194" t="s">
        <v>1161</v>
      </c>
      <c r="K40" s="59">
        <v>45000</v>
      </c>
      <c r="L40" s="48">
        <f>IF(K40&gt;=Datos!$D$14,(Datos!$D$14*Datos!$C$14),IF(K40&lt;=Datos!$D$14,(K40*Datos!$C$14)))</f>
        <v>1291.5</v>
      </c>
      <c r="M40" s="48">
        <f>IF(K40&gt;=Datos!$D$15,(Datos!$D$15*Datos!$C$15),IF(K40&lt;=Datos!$D$15,(K40*Datos!$C$15)))</f>
        <v>1368</v>
      </c>
      <c r="N40" s="42"/>
      <c r="O40" s="42">
        <f t="shared" si="3"/>
        <v>42340.5</v>
      </c>
      <c r="P40" s="239">
        <f>IF(O40&lt;=Datos!$G$7,"0",IF(O40&lt;=Datos!$G$8,(O40-Datos!$F$8)*Datos!$I$6,IF(O40&lt;=Datos!$G$9,Datos!$I$8+(O40-Datos!$F$9)*Datos!$J$6,IF(O40&gt;=Datos!$F$10,(Datos!$I$8+Datos!$J$8)+(O40-Datos!$F$10)*Datos!$K$6))))</f>
        <v>1148.3234999999997</v>
      </c>
      <c r="Q40" s="42">
        <f>IFERROR(VLOOKUP(C40,[1]Hoja1!$D$5:$E$58,2,FALSE),0)</f>
        <v>0</v>
      </c>
      <c r="R40" s="238">
        <v>25</v>
      </c>
      <c r="S40" s="42"/>
      <c r="T40" s="42">
        <f t="shared" si="4"/>
        <v>3832.8234999999995</v>
      </c>
      <c r="U40" s="42">
        <f t="shared" si="5"/>
        <v>41167.176500000001</v>
      </c>
      <c r="V40" s="196"/>
      <c r="W40" s="197">
        <v>44896</v>
      </c>
      <c r="X40" s="194"/>
    </row>
    <row r="41" spans="1:26" ht="16.5" customHeight="1" x14ac:dyDescent="0.25">
      <c r="A41" s="318"/>
      <c r="B41" s="310">
        <v>35</v>
      </c>
      <c r="C41" s="195" t="s">
        <v>1323</v>
      </c>
      <c r="D41" s="194" t="s">
        <v>1324</v>
      </c>
      <c r="E41" s="194" t="s">
        <v>85</v>
      </c>
      <c r="F41" s="194" t="s">
        <v>914</v>
      </c>
      <c r="G41" s="195">
        <v>1</v>
      </c>
      <c r="H41" s="287" t="s">
        <v>1151</v>
      </c>
      <c r="I41" s="194" t="s">
        <v>1187</v>
      </c>
      <c r="J41" s="194" t="s">
        <v>1351</v>
      </c>
      <c r="K41" s="59">
        <v>105000</v>
      </c>
      <c r="L41" s="48">
        <f>IF(K41&gt;=Datos!$D$14,(Datos!$D$14*Datos!$C$14),IF(K41&lt;=Datos!$D$14,(K41*Datos!$C$14)))</f>
        <v>3013.5</v>
      </c>
      <c r="M41" s="48">
        <f>IF(K41&gt;=Datos!$D$15,(Datos!$D$15*Datos!$C$15),IF(K41&lt;=Datos!$D$15,(K41*Datos!$C$15)))</f>
        <v>3192</v>
      </c>
      <c r="N41" s="42">
        <v>1715.46</v>
      </c>
      <c r="O41" s="42">
        <f t="shared" si="3"/>
        <v>97079.039999999994</v>
      </c>
      <c r="P41" s="239">
        <f>IF(O41&lt;=Datos!$G$7,"0",IF(O41&lt;=Datos!$G$8,(O41-Datos!$F$8)*Datos!$I$6,IF(O41&lt;=Datos!$G$9,Datos!$I$8+(O41-Datos!$F$9)*Datos!$J$6,IF(O41&gt;=Datos!$F$10,(Datos!$I$8+Datos!$J$8)+(O41-Datos!$F$10)*Datos!$K$6))))</f>
        <v>12852.620666666666</v>
      </c>
      <c r="Q41" s="42">
        <f>IFERROR(VLOOKUP(C41,[1]Hoja1!$D$5:$E$58,2,FALSE),0)</f>
        <v>0</v>
      </c>
      <c r="R41" s="238">
        <v>25</v>
      </c>
      <c r="S41" s="42"/>
      <c r="T41" s="42">
        <f t="shared" si="4"/>
        <v>20798.580666666665</v>
      </c>
      <c r="U41" s="42">
        <f t="shared" si="5"/>
        <v>84201.419333333339</v>
      </c>
      <c r="V41" s="196"/>
      <c r="W41" s="197">
        <v>45170</v>
      </c>
      <c r="X41" s="194"/>
    </row>
    <row r="42" spans="1:26" ht="16.5" customHeight="1" x14ac:dyDescent="0.25">
      <c r="A42" s="318"/>
      <c r="B42" s="310">
        <v>36</v>
      </c>
      <c r="C42" s="195" t="s">
        <v>1526</v>
      </c>
      <c r="D42" s="194" t="s">
        <v>1527</v>
      </c>
      <c r="E42" s="194" t="s">
        <v>85</v>
      </c>
      <c r="F42" s="194" t="s">
        <v>914</v>
      </c>
      <c r="G42" s="195">
        <v>1</v>
      </c>
      <c r="H42" s="287" t="s">
        <v>1352</v>
      </c>
      <c r="I42" s="194" t="s">
        <v>1187</v>
      </c>
      <c r="J42" s="194" t="s">
        <v>1793</v>
      </c>
      <c r="K42" s="59">
        <v>120000</v>
      </c>
      <c r="L42" s="48">
        <f>IF(K42&gt;=Datos!$D$14,(Datos!$D$14*Datos!$C$14),IF(K42&lt;=Datos!$D$14,(K42*Datos!$C$14)))</f>
        <v>3444</v>
      </c>
      <c r="M42" s="48">
        <f>IF(K42&gt;=Datos!$D$15,(Datos!$D$15*Datos!$C$15),IF(K42&lt;=Datos!$D$15,(K42*Datos!$C$15)))</f>
        <v>3648</v>
      </c>
      <c r="N42" s="42">
        <v>1715.46</v>
      </c>
      <c r="O42" s="42">
        <f>+K42-(L42+M42+N42)</f>
        <v>111192.54000000001</v>
      </c>
      <c r="P42" s="239">
        <f>IF(O42&lt;=Datos!$G$7,"0",IF(O42&lt;=Datos!$G$8,(O42-Datos!$F$8)*Datos!$I$6,IF(O42&lt;=Datos!$G$9,Datos!$I$8+(O42-Datos!$F$9)*Datos!$J$6,IF(O42&gt;=Datos!$F$10,(Datos!$I$8+Datos!$J$8)+(O42-Datos!$F$10)*Datos!$K$6))))</f>
        <v>16380.995666666669</v>
      </c>
      <c r="Q42" s="42">
        <v>25013.05</v>
      </c>
      <c r="R42" s="238">
        <v>25</v>
      </c>
      <c r="S42" s="42"/>
      <c r="T42" s="42">
        <f>SUM(P42:R42)+(L42+M42+N42)-S42</f>
        <v>50226.505666666671</v>
      </c>
      <c r="U42" s="42">
        <f>+K42-T42</f>
        <v>69773.494333333336</v>
      </c>
      <c r="V42" s="196">
        <v>9606937487</v>
      </c>
      <c r="W42" s="197">
        <v>45383</v>
      </c>
      <c r="X42" s="320"/>
    </row>
    <row r="43" spans="1:26" ht="16.5" customHeight="1" x14ac:dyDescent="0.25">
      <c r="A43" s="318"/>
      <c r="B43" s="310">
        <v>37</v>
      </c>
      <c r="C43" s="195" t="s">
        <v>418</v>
      </c>
      <c r="D43" s="194" t="s">
        <v>659</v>
      </c>
      <c r="E43" s="194" t="s">
        <v>85</v>
      </c>
      <c r="F43" s="194" t="s">
        <v>914</v>
      </c>
      <c r="G43" s="195">
        <v>1</v>
      </c>
      <c r="H43" s="287" t="s">
        <v>1156</v>
      </c>
      <c r="I43" s="194" t="s">
        <v>1062</v>
      </c>
      <c r="J43" s="194" t="s">
        <v>858</v>
      </c>
      <c r="K43" s="59">
        <v>65000</v>
      </c>
      <c r="L43" s="48">
        <f>IF(K43&gt;=Datos!$D$14,(Datos!$D$14*Datos!$C$14),IF(K43&lt;=Datos!$D$14,(K43*Datos!$C$14)))</f>
        <v>1865.5</v>
      </c>
      <c r="M43" s="48">
        <f>IF(K43&gt;=Datos!$D$15,(Datos!$D$15*Datos!$C$15),IF(K43&lt;=Datos!$D$15,(K43*Datos!$C$15)))</f>
        <v>1976</v>
      </c>
      <c r="N43" s="42"/>
      <c r="O43" s="42">
        <f t="shared" si="3"/>
        <v>61158.5</v>
      </c>
      <c r="P43" s="239">
        <f>IF(O43&lt;=Datos!$G$7,"0",IF(O43&lt;=Datos!$G$8,(O43-Datos!$F$8)*Datos!$I$6,IF(O43&lt;=Datos!$G$9,Datos!$I$8+(O43-Datos!$F$9)*Datos!$J$6,IF(O43&gt;=Datos!$F$10,(Datos!$I$8+Datos!$J$8)+(O43-Datos!$F$10)*Datos!$K$6))))</f>
        <v>4427.5756666666657</v>
      </c>
      <c r="Q43" s="42">
        <f>IFERROR(VLOOKUP(C43,[1]Hoja1!$D$5:$E$58,2,FALSE),0)</f>
        <v>0</v>
      </c>
      <c r="R43" s="238">
        <v>25</v>
      </c>
      <c r="S43" s="42"/>
      <c r="T43" s="42">
        <f t="shared" si="4"/>
        <v>8294.0756666666657</v>
      </c>
      <c r="U43" s="42">
        <f t="shared" si="5"/>
        <v>56705.924333333336</v>
      </c>
      <c r="V43" s="196" t="s">
        <v>178</v>
      </c>
      <c r="W43" s="197">
        <v>44445</v>
      </c>
      <c r="X43" s="194"/>
    </row>
    <row r="44" spans="1:26" ht="16.5" customHeight="1" x14ac:dyDescent="0.25">
      <c r="A44" s="318"/>
      <c r="B44" s="310">
        <v>38</v>
      </c>
      <c r="C44" s="195" t="s">
        <v>1900</v>
      </c>
      <c r="D44" s="194" t="s">
        <v>1901</v>
      </c>
      <c r="E44" s="194" t="s">
        <v>85</v>
      </c>
      <c r="F44" s="194" t="s">
        <v>914</v>
      </c>
      <c r="G44" s="195">
        <v>5</v>
      </c>
      <c r="H44" s="287" t="s">
        <v>1383</v>
      </c>
      <c r="I44" s="194" t="s">
        <v>1062</v>
      </c>
      <c r="J44" s="194" t="s">
        <v>1520</v>
      </c>
      <c r="K44" s="59">
        <v>35000</v>
      </c>
      <c r="L44" s="48">
        <f>IF(K44&gt;=Datos!$D$14,(Datos!$D$14*Datos!$C$14),IF(K44&lt;=Datos!$D$14,(K44*Datos!$C$14)))</f>
        <v>1004.5</v>
      </c>
      <c r="M44" s="48">
        <f>IF(K44&gt;=Datos!$D$15,(Datos!$D$15*Datos!$C$15),IF(K44&lt;=Datos!$D$15,(K44*Datos!$C$15)))</f>
        <v>1064</v>
      </c>
      <c r="N44" s="42"/>
      <c r="O44" s="42">
        <f t="shared" ref="O44" si="39">+K44-(L44+M44+N44)</f>
        <v>32931.5</v>
      </c>
      <c r="P44" s="239" t="str">
        <f>IF(O44&lt;=Datos!$G$7,"0",IF(O44&lt;=Datos!$G$8,(O44-Datos!$F$8)*Datos!$I$6,IF(O44&lt;=Datos!$G$9,Datos!$I$8+(O44-Datos!$F$9)*Datos!$J$6,IF(O44&gt;=Datos!$F$10,(Datos!$I$8+Datos!$J$8)+(O44-Datos!$F$10)*Datos!$K$6))))</f>
        <v>0</v>
      </c>
      <c r="Q44" s="42">
        <f>IFERROR(VLOOKUP(C44,[1]Hoja1!$D$5:$E$58,2,FALSE),0)</f>
        <v>0</v>
      </c>
      <c r="R44" s="238">
        <v>25</v>
      </c>
      <c r="S44" s="42"/>
      <c r="T44" s="42">
        <f t="shared" ref="T44" si="40">SUM(P44:R44)+(L44+M44+N44)-S44</f>
        <v>2093.5</v>
      </c>
      <c r="U44" s="42">
        <f t="shared" ref="U44" si="41">+K44-T44</f>
        <v>32906.5</v>
      </c>
      <c r="V44" s="196">
        <v>9607759039</v>
      </c>
      <c r="W44" s="197">
        <v>45627</v>
      </c>
      <c r="X44" s="194"/>
    </row>
    <row r="45" spans="1:26" ht="16.5" customHeight="1" x14ac:dyDescent="0.25">
      <c r="A45" s="318"/>
      <c r="B45" s="310">
        <v>39</v>
      </c>
      <c r="C45" s="195" t="s">
        <v>1498</v>
      </c>
      <c r="D45" s="194" t="s">
        <v>1497</v>
      </c>
      <c r="E45" s="194" t="s">
        <v>86</v>
      </c>
      <c r="F45" s="194" t="s">
        <v>914</v>
      </c>
      <c r="G45" s="195">
        <v>1</v>
      </c>
      <c r="H45" s="287" t="s">
        <v>1636</v>
      </c>
      <c r="I45" s="194" t="s">
        <v>1067</v>
      </c>
      <c r="J45" s="194" t="s">
        <v>1499</v>
      </c>
      <c r="K45" s="59">
        <v>110000</v>
      </c>
      <c r="L45" s="48">
        <f>IF(K45&gt;=Datos!$D$14,(Datos!$D$14*Datos!$C$14),IF(K45&lt;=Datos!$D$14,(K45*Datos!$C$14)))</f>
        <v>3157</v>
      </c>
      <c r="M45" s="48">
        <f>IF(K45&gt;=Datos!$D$15,(Datos!$D$15*Datos!$C$15),IF(K45&lt;=Datos!$D$15,(K45*Datos!$C$15)))</f>
        <v>3344</v>
      </c>
      <c r="N45" s="42"/>
      <c r="O45" s="42">
        <f t="shared" si="3"/>
        <v>103499</v>
      </c>
      <c r="P45" s="239">
        <f>IF(O45&lt;=Datos!$G$7,"0",IF(O45&lt;=Datos!$G$8,(O45-Datos!$F$8)*Datos!$I$6,IF(O45&lt;=Datos!$G$9,Datos!$I$8+(O45-Datos!$F$9)*Datos!$J$6,IF(O45&gt;=Datos!$F$10,(Datos!$I$8+Datos!$J$8)+(O45-Datos!$F$10)*Datos!$K$6))))</f>
        <v>14457.610666666667</v>
      </c>
      <c r="Q45" s="42">
        <f>IFERROR(VLOOKUP(C45,[1]Hoja1!$D$5:$E$58,2,FALSE),0)</f>
        <v>0</v>
      </c>
      <c r="R45" s="238">
        <v>25</v>
      </c>
      <c r="S45" s="42"/>
      <c r="T45" s="42">
        <f t="shared" si="4"/>
        <v>20983.610666666667</v>
      </c>
      <c r="U45" s="42">
        <f t="shared" si="5"/>
        <v>89016.389333333325</v>
      </c>
      <c r="V45" s="196">
        <v>9606795764</v>
      </c>
      <c r="W45" s="197">
        <v>45352</v>
      </c>
      <c r="X45" s="319"/>
    </row>
    <row r="46" spans="1:26" ht="16.5" customHeight="1" x14ac:dyDescent="0.25">
      <c r="A46" s="318"/>
      <c r="B46" s="310">
        <v>40</v>
      </c>
      <c r="C46" s="195" t="s">
        <v>1195</v>
      </c>
      <c r="D46" s="194" t="s">
        <v>1196</v>
      </c>
      <c r="E46" s="194" t="s">
        <v>85</v>
      </c>
      <c r="F46" s="194" t="s">
        <v>914</v>
      </c>
      <c r="G46" s="195">
        <v>1</v>
      </c>
      <c r="H46" s="287" t="s">
        <v>1352</v>
      </c>
      <c r="I46" s="194" t="s">
        <v>1062</v>
      </c>
      <c r="J46" s="194" t="s">
        <v>894</v>
      </c>
      <c r="K46" s="59">
        <v>60000</v>
      </c>
      <c r="L46" s="48">
        <f>IF(K46&gt;=Datos!$D$14,(Datos!$D$14*Datos!$C$14),IF(K46&lt;=Datos!$D$14,(K46*Datos!$C$14)))</f>
        <v>1722</v>
      </c>
      <c r="M46" s="48">
        <f>IF(K46&gt;=Datos!$D$15,(Datos!$D$15*Datos!$C$15),IF(K46&lt;=Datos!$D$15,(K46*Datos!$C$15)))</f>
        <v>1824</v>
      </c>
      <c r="N46" s="42"/>
      <c r="O46" s="42">
        <f t="shared" si="3"/>
        <v>56454</v>
      </c>
      <c r="P46" s="239">
        <f>IF(O46&lt;=Datos!$G$7,"0",IF(O46&lt;=Datos!$G$8,(O46-Datos!$F$8)*Datos!$I$6,IF(O46&lt;=Datos!$G$9,Datos!$I$8+(O46-Datos!$F$9)*Datos!$J$6,IF(O46&gt;=Datos!$F$10,(Datos!$I$8+Datos!$J$8)+(O46-Datos!$F$10)*Datos!$K$6))))</f>
        <v>3486.6756666666661</v>
      </c>
      <c r="Q46" s="42">
        <f>IFERROR(VLOOKUP(C46,[1]Hoja1!$D$5:$E$58,2,FALSE),0)</f>
        <v>0</v>
      </c>
      <c r="R46" s="238">
        <v>25</v>
      </c>
      <c r="S46" s="42"/>
      <c r="T46" s="42">
        <f t="shared" si="4"/>
        <v>7057.6756666666661</v>
      </c>
      <c r="U46" s="42">
        <f t="shared" si="5"/>
        <v>52942.324333333338</v>
      </c>
      <c r="V46" s="196"/>
      <c r="W46" s="197">
        <v>44927</v>
      </c>
      <c r="X46" s="194"/>
    </row>
    <row r="47" spans="1:26" ht="16.5" customHeight="1" x14ac:dyDescent="0.25">
      <c r="A47" s="318"/>
      <c r="B47" s="310">
        <v>41</v>
      </c>
      <c r="C47" s="195" t="s">
        <v>920</v>
      </c>
      <c r="D47" s="194" t="s">
        <v>919</v>
      </c>
      <c r="E47" s="194" t="s">
        <v>85</v>
      </c>
      <c r="F47" s="194" t="s">
        <v>914</v>
      </c>
      <c r="G47" s="195">
        <v>1</v>
      </c>
      <c r="H47" s="287" t="s">
        <v>1213</v>
      </c>
      <c r="I47" s="194" t="s">
        <v>1187</v>
      </c>
      <c r="J47" s="194" t="s">
        <v>1228</v>
      </c>
      <c r="K47" s="59">
        <v>145000</v>
      </c>
      <c r="L47" s="48">
        <f>IF(K47&gt;=Datos!$D$14,(Datos!$D$14*Datos!$C$14),IF(K47&lt;=Datos!$D$14,(K47*Datos!$C$14)))</f>
        <v>4161.5</v>
      </c>
      <c r="M47" s="48">
        <f>IF(K47&gt;=Datos!$D$15,(Datos!$D$15*Datos!$C$15),IF(K47&lt;=Datos!$D$15,(K47*Datos!$C$15)))</f>
        <v>4408</v>
      </c>
      <c r="N47" s="42"/>
      <c r="O47" s="42">
        <f t="shared" si="3"/>
        <v>136430.5</v>
      </c>
      <c r="P47" s="239">
        <f>IF(O47&lt;=Datos!$G$7,"0",IF(O47&lt;=Datos!$G$8,(O47-Datos!$F$8)*Datos!$I$6,IF(O47&lt;=Datos!$G$9,Datos!$I$8+(O47-Datos!$F$9)*Datos!$J$6,IF(O47&gt;=Datos!$F$10,(Datos!$I$8+Datos!$J$8)+(O47-Datos!$F$10)*Datos!$K$6))))</f>
        <v>22690.485666666667</v>
      </c>
      <c r="Q47" s="42">
        <f>IFERROR(VLOOKUP(C47,[1]Hoja1!$D$5:$E$58,2,FALSE),0)</f>
        <v>0</v>
      </c>
      <c r="R47" s="238">
        <v>25</v>
      </c>
      <c r="S47" s="42"/>
      <c r="T47" s="42">
        <f t="shared" si="4"/>
        <v>31284.985666666667</v>
      </c>
      <c r="U47" s="42">
        <f t="shared" si="5"/>
        <v>113715.01433333333</v>
      </c>
      <c r="V47" s="42"/>
      <c r="W47" s="197">
        <v>44621</v>
      </c>
      <c r="X47" s="197"/>
      <c r="Y47" s="82"/>
      <c r="Z47" s="63"/>
    </row>
    <row r="48" spans="1:26" ht="16.5" customHeight="1" x14ac:dyDescent="0.25">
      <c r="A48" s="318"/>
      <c r="B48" s="310">
        <v>42</v>
      </c>
      <c r="C48" s="195" t="s">
        <v>980</v>
      </c>
      <c r="D48" s="194" t="s">
        <v>971</v>
      </c>
      <c r="E48" s="194" t="s">
        <v>86</v>
      </c>
      <c r="F48" s="194" t="s">
        <v>914</v>
      </c>
      <c r="G48" s="195">
        <v>1</v>
      </c>
      <c r="H48" s="287" t="s">
        <v>1155</v>
      </c>
      <c r="I48" s="194" t="s">
        <v>1187</v>
      </c>
      <c r="J48" s="194" t="s">
        <v>855</v>
      </c>
      <c r="K48" s="59">
        <v>65000</v>
      </c>
      <c r="L48" s="48">
        <f>IF(K48&gt;=Datos!$D$14,(Datos!$D$14*Datos!$C$14),IF(K48&lt;=Datos!$D$14,(K48*Datos!$C$14)))</f>
        <v>1865.5</v>
      </c>
      <c r="M48" s="48">
        <f>IF(K48&gt;=Datos!$D$15,(Datos!$D$15*Datos!$C$15),IF(K48&lt;=Datos!$D$15,(K48*Datos!$C$15)))</f>
        <v>1976</v>
      </c>
      <c r="N48" s="42"/>
      <c r="O48" s="42">
        <f t="shared" si="3"/>
        <v>61158.5</v>
      </c>
      <c r="P48" s="239">
        <f>IF(O48&lt;=Datos!$G$7,"0",IF(O48&lt;=Datos!$G$8,(O48-Datos!$F$8)*Datos!$I$6,IF(O48&lt;=Datos!$G$9,Datos!$I$8+(O48-Datos!$F$9)*Datos!$J$6,IF(O48&gt;=Datos!$F$10,(Datos!$I$8+Datos!$J$8)+(O48-Datos!$F$10)*Datos!$K$6))))</f>
        <v>4427.5756666666657</v>
      </c>
      <c r="Q48" s="42">
        <f>IFERROR(VLOOKUP(C48,[1]Hoja1!$D$5:$E$58,2,FALSE),0)</f>
        <v>0</v>
      </c>
      <c r="R48" s="238">
        <v>25</v>
      </c>
      <c r="S48" s="42"/>
      <c r="T48" s="42">
        <f t="shared" si="4"/>
        <v>8294.0756666666657</v>
      </c>
      <c r="U48" s="42">
        <f t="shared" si="5"/>
        <v>56705.924333333336</v>
      </c>
      <c r="V48" s="42"/>
      <c r="W48" s="197">
        <v>44713</v>
      </c>
      <c r="X48" s="197"/>
      <c r="Y48" s="82"/>
      <c r="Z48" s="63"/>
    </row>
    <row r="49" spans="1:26" ht="16.5" customHeight="1" x14ac:dyDescent="0.25">
      <c r="A49" s="318"/>
      <c r="B49" s="310">
        <v>43</v>
      </c>
      <c r="C49" s="195" t="s">
        <v>1902</v>
      </c>
      <c r="D49" s="194" t="s">
        <v>1903</v>
      </c>
      <c r="E49" s="194" t="s">
        <v>85</v>
      </c>
      <c r="F49" s="194" t="s">
        <v>914</v>
      </c>
      <c r="G49" s="195">
        <v>1</v>
      </c>
      <c r="H49" s="287" t="s">
        <v>1383</v>
      </c>
      <c r="I49" s="194" t="s">
        <v>1062</v>
      </c>
      <c r="J49" s="194" t="s">
        <v>1520</v>
      </c>
      <c r="K49" s="59">
        <v>35000</v>
      </c>
      <c r="L49" s="48">
        <f>IF(K49&gt;=Datos!$D$14,(Datos!$D$14*Datos!$C$14),IF(K49&lt;=Datos!$D$14,(K49*Datos!$C$14)))</f>
        <v>1004.5</v>
      </c>
      <c r="M49" s="48">
        <f>IF(K49&gt;=Datos!$D$15,(Datos!$D$15*Datos!$C$15),IF(K49&lt;=Datos!$D$15,(K49*Datos!$C$15)))</f>
        <v>1064</v>
      </c>
      <c r="N49" s="42"/>
      <c r="O49" s="42">
        <f t="shared" ref="O49" si="42">+K49-(L49+M49+N49)</f>
        <v>32931.5</v>
      </c>
      <c r="P49" s="239" t="str">
        <f>IF(O49&lt;=Datos!$G$7,"0",IF(O49&lt;=Datos!$G$8,(O49-Datos!$F$8)*Datos!$I$6,IF(O49&lt;=Datos!$G$9,Datos!$I$8+(O49-Datos!$F$9)*Datos!$J$6,IF(O49&gt;=Datos!$F$10,(Datos!$I$8+Datos!$J$8)+(O49-Datos!$F$10)*Datos!$K$6))))</f>
        <v>0</v>
      </c>
      <c r="Q49" s="42">
        <f>IFERROR(VLOOKUP(C49,[1]Hoja1!$D$5:$E$58,2,FALSE),0)</f>
        <v>0</v>
      </c>
      <c r="R49" s="238">
        <v>25</v>
      </c>
      <c r="S49" s="42"/>
      <c r="T49" s="42">
        <f t="shared" ref="T49" si="43">SUM(P49:R49)+(L49+M49+N49)-S49</f>
        <v>2093.5</v>
      </c>
      <c r="U49" s="42">
        <f t="shared" ref="U49" si="44">+K49-T49</f>
        <v>32906.5</v>
      </c>
      <c r="V49" s="321">
        <v>9607759041</v>
      </c>
      <c r="W49" s="197">
        <v>45627</v>
      </c>
      <c r="X49" s="197"/>
      <c r="Y49" s="82"/>
      <c r="Z49" s="63"/>
    </row>
    <row r="50" spans="1:26" ht="16.5" customHeight="1" x14ac:dyDescent="0.25">
      <c r="A50" s="318"/>
      <c r="B50" s="310">
        <v>44</v>
      </c>
      <c r="C50" s="195" t="s">
        <v>1924</v>
      </c>
      <c r="D50" s="194" t="s">
        <v>1925</v>
      </c>
      <c r="E50" s="194" t="s">
        <v>86</v>
      </c>
      <c r="F50" s="194" t="s">
        <v>914</v>
      </c>
      <c r="G50" s="195">
        <v>1</v>
      </c>
      <c r="H50" s="287" t="s">
        <v>1932</v>
      </c>
      <c r="I50" s="194" t="s">
        <v>1187</v>
      </c>
      <c r="J50" s="194" t="s">
        <v>1933</v>
      </c>
      <c r="K50" s="59">
        <v>45000</v>
      </c>
      <c r="L50" s="48">
        <f>IF(K50&gt;=Datos!$D$14,(Datos!$D$14*Datos!$C$14),IF(K50&lt;=Datos!$D$14,(K50*Datos!$C$14)))</f>
        <v>1291.5</v>
      </c>
      <c r="M50" s="48">
        <f>IF(K50&gt;=Datos!$D$15,(Datos!$D$15*Datos!$C$15),IF(K50&lt;=Datos!$D$15,(K50*Datos!$C$15)))</f>
        <v>1368</v>
      </c>
      <c r="N50" s="42"/>
      <c r="O50" s="42">
        <f t="shared" ref="O50" si="45">+K50-(L50+M50+N50)</f>
        <v>42340.5</v>
      </c>
      <c r="P50" s="239">
        <f>IF(O50&lt;=Datos!$G$7,"0",IF(O50&lt;=Datos!$G$8,(O50-Datos!$F$8)*Datos!$I$6,IF(O50&lt;=Datos!$G$9,Datos!$I$8+(O50-Datos!$F$9)*Datos!$J$6,IF(O50&gt;=Datos!$F$10,(Datos!$I$8+Datos!$J$8)+(O50-Datos!$F$10)*Datos!$K$6))))</f>
        <v>1148.3234999999997</v>
      </c>
      <c r="Q50" s="42">
        <f>IFERROR(VLOOKUP(C50,[1]Hoja1!$D$5:$E$58,2,FALSE),0)</f>
        <v>0</v>
      </c>
      <c r="R50" s="238">
        <v>25</v>
      </c>
      <c r="S50" s="42"/>
      <c r="T50" s="42">
        <f t="shared" ref="T50" si="46">SUM(P50:R50)+(L50+M50+N50)-S50</f>
        <v>3832.8234999999995</v>
      </c>
      <c r="U50" s="42">
        <f t="shared" ref="U50" si="47">+K50-T50</f>
        <v>41167.176500000001</v>
      </c>
      <c r="V50" s="321">
        <v>9607759051</v>
      </c>
      <c r="W50" s="197">
        <v>45627</v>
      </c>
      <c r="X50" s="197"/>
      <c r="Y50" s="82"/>
      <c r="Z50" s="63"/>
    </row>
    <row r="51" spans="1:26" ht="16.5" customHeight="1" x14ac:dyDescent="0.25">
      <c r="A51" s="318"/>
      <c r="B51" s="310">
        <v>45</v>
      </c>
      <c r="C51" s="195" t="s">
        <v>1799</v>
      </c>
      <c r="D51" s="194" t="s">
        <v>1800</v>
      </c>
      <c r="E51" s="194" t="s">
        <v>85</v>
      </c>
      <c r="F51" s="194" t="s">
        <v>914</v>
      </c>
      <c r="G51" s="195">
        <v>1</v>
      </c>
      <c r="H51" s="287" t="s">
        <v>1746</v>
      </c>
      <c r="I51" s="194" t="s">
        <v>1187</v>
      </c>
      <c r="J51" s="194" t="s">
        <v>1659</v>
      </c>
      <c r="K51" s="59">
        <v>60000</v>
      </c>
      <c r="L51" s="48">
        <f>IF(K51&gt;=Datos!$D$14,(Datos!$D$14*Datos!$C$14),IF(K51&lt;=Datos!$D$14,(K51*Datos!$C$14)))</f>
        <v>1722</v>
      </c>
      <c r="M51" s="48">
        <f>IF(K51&gt;=Datos!$D$15,(Datos!$D$15*Datos!$C$15),IF(K51&lt;=Datos!$D$15,(K51*Datos!$C$15)))</f>
        <v>1824</v>
      </c>
      <c r="N51" s="42"/>
      <c r="O51" s="42">
        <f t="shared" si="3"/>
        <v>56454</v>
      </c>
      <c r="P51" s="239">
        <f>IF(O51&lt;=Datos!$G$7,"0",IF(O51&lt;=Datos!$G$8,(O51-Datos!$F$8)*Datos!$I$6,IF(O51&lt;=Datos!$G$9,Datos!$I$8+(O51-Datos!$F$9)*Datos!$J$6,IF(O51&gt;=Datos!$F$10,(Datos!$I$8+Datos!$J$8)+(O51-Datos!$F$10)*Datos!$K$6))))</f>
        <v>3486.6756666666661</v>
      </c>
      <c r="Q51" s="42">
        <f>IFERROR(VLOOKUP(C51,[1]Hoja1!$D$5:$E$58,2,FALSE),0)</f>
        <v>0</v>
      </c>
      <c r="R51" s="238">
        <v>25</v>
      </c>
      <c r="S51" s="42"/>
      <c r="T51" s="42">
        <f t="shared" si="4"/>
        <v>7057.6756666666661</v>
      </c>
      <c r="U51" s="42">
        <f t="shared" si="5"/>
        <v>52942.324333333338</v>
      </c>
      <c r="V51" s="196">
        <v>9607660886</v>
      </c>
      <c r="W51" s="197">
        <v>45597</v>
      </c>
      <c r="X51" s="197"/>
      <c r="Y51" s="82"/>
      <c r="Z51" s="63"/>
    </row>
    <row r="52" spans="1:26" ht="16.5" customHeight="1" x14ac:dyDescent="0.25">
      <c r="A52" s="318"/>
      <c r="B52" s="310">
        <v>46</v>
      </c>
      <c r="C52" s="195" t="s">
        <v>918</v>
      </c>
      <c r="D52" s="194" t="s">
        <v>916</v>
      </c>
      <c r="E52" s="194" t="s">
        <v>86</v>
      </c>
      <c r="F52" s="194" t="s">
        <v>914</v>
      </c>
      <c r="G52" s="195">
        <v>1</v>
      </c>
      <c r="H52" s="287" t="s">
        <v>1491</v>
      </c>
      <c r="I52" s="194" t="s">
        <v>1187</v>
      </c>
      <c r="J52" s="194" t="s">
        <v>917</v>
      </c>
      <c r="K52" s="59">
        <v>50000</v>
      </c>
      <c r="L52" s="48">
        <f>IF(K52&gt;=Datos!$D$14,(Datos!$D$14*Datos!$C$14),IF(K52&lt;=Datos!$D$14,(K52*Datos!$C$14)))</f>
        <v>1435</v>
      </c>
      <c r="M52" s="48">
        <f>IF(K52&gt;=Datos!$D$15,(Datos!$D$15*Datos!$C$15),IF(K52&lt;=Datos!$D$15,(K52*Datos!$C$15)))</f>
        <v>1520</v>
      </c>
      <c r="N52" s="42"/>
      <c r="O52" s="42">
        <f t="shared" si="3"/>
        <v>47045</v>
      </c>
      <c r="P52" s="239">
        <f>IF(O52&lt;=Datos!$G$7,"0",IF(O52&lt;=Datos!$G$8,(O52-Datos!$F$8)*Datos!$I$6,IF(O52&lt;=Datos!$G$9,Datos!$I$8+(O52-Datos!$F$9)*Datos!$J$6,IF(O52&gt;=Datos!$F$10,(Datos!$I$8+Datos!$J$8)+(O52-Datos!$F$10)*Datos!$K$6))))</f>
        <v>1853.9984999999997</v>
      </c>
      <c r="Q52" s="42">
        <f>IFERROR(VLOOKUP(C52,[1]Hoja1!$D$5:$E$58,2,FALSE),0)</f>
        <v>0</v>
      </c>
      <c r="R52" s="238">
        <v>25</v>
      </c>
      <c r="S52" s="42"/>
      <c r="T52" s="42">
        <f t="shared" si="4"/>
        <v>4833.9984999999997</v>
      </c>
      <c r="U52" s="42">
        <f t="shared" si="5"/>
        <v>45166.001499999998</v>
      </c>
      <c r="V52" s="42"/>
      <c r="W52" s="197">
        <v>44621</v>
      </c>
      <c r="X52" s="197"/>
      <c r="Y52" s="82"/>
      <c r="Z52" s="63"/>
    </row>
    <row r="53" spans="1:26" ht="16.5" customHeight="1" x14ac:dyDescent="0.25">
      <c r="A53" s="318"/>
      <c r="B53" s="310">
        <v>47</v>
      </c>
      <c r="C53" s="195" t="s">
        <v>1091</v>
      </c>
      <c r="D53" s="194" t="s">
        <v>1807</v>
      </c>
      <c r="E53" s="194" t="s">
        <v>86</v>
      </c>
      <c r="F53" s="194" t="s">
        <v>914</v>
      </c>
      <c r="G53" s="195">
        <v>1</v>
      </c>
      <c r="H53" s="287" t="s">
        <v>1831</v>
      </c>
      <c r="I53" s="194" t="s">
        <v>1187</v>
      </c>
      <c r="J53" s="194" t="s">
        <v>1031</v>
      </c>
      <c r="K53" s="59">
        <v>75000</v>
      </c>
      <c r="L53" s="48">
        <f>IF(K53&gt;=Datos!$D$14,(Datos!$D$14*Datos!$C$14),IF(K53&lt;=Datos!$D$14,(K53*Datos!$C$14)))</f>
        <v>2152.5</v>
      </c>
      <c r="M53" s="48">
        <f>IF(K53&gt;=Datos!$D$15,(Datos!$D$15*Datos!$C$15),IF(K53&lt;=Datos!$D$15,(K53*Datos!$C$15)))</f>
        <v>2280</v>
      </c>
      <c r="N53" s="42"/>
      <c r="O53" s="42">
        <f t="shared" si="3"/>
        <v>70567.5</v>
      </c>
      <c r="P53" s="239">
        <f>IF(O53&lt;=Datos!$G$7,"0",IF(O53&lt;=Datos!$G$8,(O53-Datos!$F$8)*Datos!$I$6,IF(O53&lt;=Datos!$G$9,Datos!$I$8+(O53-Datos!$F$9)*Datos!$J$6,IF(O53&gt;=Datos!$F$10,(Datos!$I$8+Datos!$J$8)+(O53-Datos!$F$10)*Datos!$K$6))))</f>
        <v>6309.3756666666668</v>
      </c>
      <c r="Q53" s="42">
        <f>IFERROR(VLOOKUP(C53,[1]Hoja1!$D$5:$E$58,2,FALSE),0)</f>
        <v>0</v>
      </c>
      <c r="R53" s="238">
        <v>25</v>
      </c>
      <c r="S53" s="42"/>
      <c r="T53" s="42">
        <f t="shared" si="4"/>
        <v>10766.875666666667</v>
      </c>
      <c r="U53" s="42">
        <f t="shared" si="5"/>
        <v>64233.124333333333</v>
      </c>
      <c r="V53" s="42"/>
      <c r="W53" s="197">
        <v>44835</v>
      </c>
      <c r="X53" s="197"/>
      <c r="Y53" s="82"/>
      <c r="Z53" s="63"/>
    </row>
    <row r="54" spans="1:26" ht="16.5" customHeight="1" x14ac:dyDescent="0.25">
      <c r="A54" s="318"/>
      <c r="B54" s="310">
        <v>48</v>
      </c>
      <c r="C54" s="195" t="s">
        <v>1805</v>
      </c>
      <c r="D54" s="194" t="s">
        <v>1806</v>
      </c>
      <c r="E54" s="194" t="s">
        <v>85</v>
      </c>
      <c r="F54" s="194" t="s">
        <v>914</v>
      </c>
      <c r="G54" s="195">
        <v>5</v>
      </c>
      <c r="H54" s="287" t="s">
        <v>1383</v>
      </c>
      <c r="I54" s="194" t="s">
        <v>1060</v>
      </c>
      <c r="J54" s="194" t="s">
        <v>1794</v>
      </c>
      <c r="K54" s="59">
        <v>60000</v>
      </c>
      <c r="L54" s="48">
        <f>IF(K54&gt;=Datos!$D$14,(Datos!$D$14*Datos!$C$14),IF(K54&lt;=Datos!$D$14,(K54*Datos!$C$14)))</f>
        <v>1722</v>
      </c>
      <c r="M54" s="48">
        <f>IF(K54&gt;=Datos!$D$15,(Datos!$D$15*Datos!$C$15),IF(K54&lt;=Datos!$D$15,(K54*Datos!$C$15)))</f>
        <v>1824</v>
      </c>
      <c r="N54" s="42"/>
      <c r="O54" s="42">
        <f t="shared" si="3"/>
        <v>56454</v>
      </c>
      <c r="P54" s="239">
        <f>IF(O54&lt;=Datos!$G$7,"0",IF(O54&lt;=Datos!$G$8,(O54-Datos!$F$8)*Datos!$I$6,IF(O54&lt;=Datos!$G$9,Datos!$I$8+(O54-Datos!$F$9)*Datos!$J$6,IF(O54&gt;=Datos!$F$10,(Datos!$I$8+Datos!$J$8)+(O54-Datos!$F$10)*Datos!$K$6))))</f>
        <v>3486.6756666666661</v>
      </c>
      <c r="Q54" s="42">
        <f>IFERROR(VLOOKUP(C54,[1]Hoja1!$D$5:$E$58,2,FALSE),0)</f>
        <v>0</v>
      </c>
      <c r="R54" s="238">
        <v>25</v>
      </c>
      <c r="S54" s="42"/>
      <c r="T54" s="42">
        <f t="shared" si="4"/>
        <v>7057.6756666666661</v>
      </c>
      <c r="U54" s="42">
        <f t="shared" si="5"/>
        <v>52942.324333333338</v>
      </c>
      <c r="V54" s="196">
        <v>9607660885</v>
      </c>
      <c r="W54" s="197">
        <v>45597</v>
      </c>
      <c r="X54" s="197"/>
      <c r="Y54" s="82"/>
      <c r="Z54" s="63"/>
    </row>
    <row r="55" spans="1:26" ht="16.5" customHeight="1" x14ac:dyDescent="0.25">
      <c r="A55" s="318"/>
      <c r="B55" s="310">
        <v>49</v>
      </c>
      <c r="C55" s="195" t="s">
        <v>1904</v>
      </c>
      <c r="D55" s="194" t="s">
        <v>1905</v>
      </c>
      <c r="E55" s="194" t="s">
        <v>85</v>
      </c>
      <c r="F55" s="194" t="s">
        <v>914</v>
      </c>
      <c r="G55" s="195">
        <v>5</v>
      </c>
      <c r="H55" s="287" t="s">
        <v>1383</v>
      </c>
      <c r="I55" s="194" t="s">
        <v>1062</v>
      </c>
      <c r="J55" s="194" t="s">
        <v>1520</v>
      </c>
      <c r="K55" s="59">
        <v>35000</v>
      </c>
      <c r="L55" s="48">
        <f>IF(K55&gt;=Datos!$D$14,(Datos!$D$14*Datos!$C$14),IF(K55&lt;=Datos!$D$14,(K55*Datos!$C$14)))</f>
        <v>1004.5</v>
      </c>
      <c r="M55" s="48">
        <f>IF(K55&gt;=Datos!$D$15,(Datos!$D$15*Datos!$C$15),IF(K55&lt;=Datos!$D$15,(K55*Datos!$C$15)))</f>
        <v>1064</v>
      </c>
      <c r="N55" s="42"/>
      <c r="O55" s="42">
        <f t="shared" si="3"/>
        <v>32931.5</v>
      </c>
      <c r="P55" s="239" t="str">
        <f>IF(O55&lt;=Datos!$G$7,"0",IF(O55&lt;=Datos!$G$8,(O55-Datos!$F$8)*Datos!$I$6,IF(O55&lt;=Datos!$G$9,Datos!$I$8+(O55-Datos!$F$9)*Datos!$J$6,IF(O55&gt;=Datos!$F$10,(Datos!$I$8+Datos!$J$8)+(O55-Datos!$F$10)*Datos!$K$6))))</f>
        <v>0</v>
      </c>
      <c r="Q55" s="42">
        <f>IFERROR(VLOOKUP(C55,[1]Hoja1!$D$5:$E$58,2,FALSE),0)</f>
        <v>0</v>
      </c>
      <c r="R55" s="238">
        <v>25</v>
      </c>
      <c r="S55" s="42"/>
      <c r="T55" s="42">
        <f t="shared" ref="T55" si="48">SUM(P55:R55)+(L55+M55+N55)-S55</f>
        <v>2093.5</v>
      </c>
      <c r="U55" s="42">
        <f t="shared" ref="U55" si="49">+K55-T55</f>
        <v>32906.5</v>
      </c>
      <c r="V55" s="196">
        <v>9607759031</v>
      </c>
      <c r="W55" s="197">
        <v>45627</v>
      </c>
      <c r="X55" s="197"/>
      <c r="Y55" s="82"/>
      <c r="Z55" s="63"/>
    </row>
    <row r="56" spans="1:26" ht="16.5" customHeight="1" x14ac:dyDescent="0.25">
      <c r="A56" s="318" t="s">
        <v>1970</v>
      </c>
      <c r="B56" s="310">
        <v>50</v>
      </c>
      <c r="C56" s="195" t="s">
        <v>1663</v>
      </c>
      <c r="D56" s="194" t="s">
        <v>1664</v>
      </c>
      <c r="E56" s="194" t="s">
        <v>85</v>
      </c>
      <c r="F56" s="194" t="s">
        <v>914</v>
      </c>
      <c r="G56" s="195">
        <v>1</v>
      </c>
      <c r="H56" s="287" t="s">
        <v>1746</v>
      </c>
      <c r="I56" s="194" t="s">
        <v>1187</v>
      </c>
      <c r="J56" s="194" t="s">
        <v>1659</v>
      </c>
      <c r="K56" s="59">
        <v>60000</v>
      </c>
      <c r="L56" s="48">
        <f>IF(K56&gt;=Datos!$D$14,(Datos!$D$14*Datos!$C$14),IF(K56&lt;=Datos!$D$14,(K56*Datos!$C$14)))</f>
        <v>1722</v>
      </c>
      <c r="M56" s="48">
        <f>IF(K56&gt;=Datos!$D$15,(Datos!$D$15*Datos!$C$15),IF(K56&lt;=Datos!$D$15,(K56*Datos!$C$15)))</f>
        <v>1824</v>
      </c>
      <c r="N56" s="42">
        <v>1715.46</v>
      </c>
      <c r="O56" s="42">
        <f t="shared" si="3"/>
        <v>54738.54</v>
      </c>
      <c r="P56" s="239">
        <f>IF(O56&lt;=Datos!$G$7,"0",IF(O56&lt;=Datos!$G$8,(O56-Datos!$F$8)*Datos!$I$6,IF(O56&lt;=Datos!$G$9,Datos!$I$8+(O56-Datos!$F$9)*Datos!$J$6,IF(O56&gt;=Datos!$F$10,(Datos!$I$8+Datos!$J$8)+(O56-Datos!$F$10)*Datos!$K$6))))</f>
        <v>3143.5836666666664</v>
      </c>
      <c r="Q56" s="42">
        <v>0</v>
      </c>
      <c r="R56" s="238">
        <v>25</v>
      </c>
      <c r="S56" s="42"/>
      <c r="T56" s="42">
        <f t="shared" si="4"/>
        <v>8430.0436666666665</v>
      </c>
      <c r="U56" s="42">
        <f t="shared" si="5"/>
        <v>51569.956333333335</v>
      </c>
      <c r="V56" s="288">
        <v>9607405796</v>
      </c>
      <c r="W56" s="197">
        <v>45536</v>
      </c>
      <c r="X56" s="197"/>
      <c r="Y56" s="82"/>
      <c r="Z56" s="63"/>
    </row>
    <row r="57" spans="1:26" ht="16.5" customHeight="1" x14ac:dyDescent="0.25">
      <c r="A57" s="318"/>
      <c r="B57" s="310">
        <v>51</v>
      </c>
      <c r="C57" s="195" t="s">
        <v>1679</v>
      </c>
      <c r="D57" s="194" t="s">
        <v>1680</v>
      </c>
      <c r="E57" s="194" t="s">
        <v>85</v>
      </c>
      <c r="F57" s="194" t="s">
        <v>914</v>
      </c>
      <c r="G57" s="195">
        <v>4</v>
      </c>
      <c r="H57" s="287" t="s">
        <v>1206</v>
      </c>
      <c r="I57" s="194" t="s">
        <v>1060</v>
      </c>
      <c r="J57" s="194" t="s">
        <v>1588</v>
      </c>
      <c r="K57" s="59">
        <v>60000</v>
      </c>
      <c r="L57" s="48">
        <f>IF(K57&gt;=Datos!$D$14,(Datos!$D$14*Datos!$C$14),IF(K57&lt;=Datos!$D$14,(K57*Datos!$C$14)))</f>
        <v>1722</v>
      </c>
      <c r="M57" s="48">
        <f>IF(K57&gt;=Datos!$D$15,(Datos!$D$15*Datos!$C$15),IF(K57&lt;=Datos!$D$15,(K57*Datos!$C$15)))</f>
        <v>1824</v>
      </c>
      <c r="N57" s="42"/>
      <c r="O57" s="42">
        <f t="shared" si="3"/>
        <v>56454</v>
      </c>
      <c r="P57" s="239">
        <f>IF(O57&lt;=Datos!$G$7,"0",IF(O57&lt;=Datos!$G$8,(O57-Datos!$F$8)*Datos!$I$6,IF(O57&lt;=Datos!$G$9,Datos!$I$8+(O57-Datos!$F$9)*Datos!$J$6,IF(O57&gt;=Datos!$F$10,(Datos!$I$8+Datos!$J$8)+(O57-Datos!$F$10)*Datos!$K$6))))</f>
        <v>3486.6756666666661</v>
      </c>
      <c r="Q57" s="42">
        <v>0</v>
      </c>
      <c r="R57" s="238">
        <v>25</v>
      </c>
      <c r="S57" s="42"/>
      <c r="T57" s="42">
        <f t="shared" si="4"/>
        <v>7057.6756666666661</v>
      </c>
      <c r="U57" s="42">
        <f t="shared" si="5"/>
        <v>52942.324333333338</v>
      </c>
      <c r="V57" s="196">
        <v>9607405791</v>
      </c>
      <c r="W57" s="197">
        <v>45536</v>
      </c>
      <c r="X57" s="197"/>
      <c r="Y57" s="82"/>
      <c r="Z57" s="63"/>
    </row>
    <row r="58" spans="1:26" ht="16.5" customHeight="1" x14ac:dyDescent="0.25">
      <c r="A58" s="318"/>
      <c r="B58" s="310">
        <v>52</v>
      </c>
      <c r="C58" s="195" t="s">
        <v>1906</v>
      </c>
      <c r="D58" s="194" t="s">
        <v>1907</v>
      </c>
      <c r="E58" s="194" t="s">
        <v>85</v>
      </c>
      <c r="F58" s="194" t="s">
        <v>914</v>
      </c>
      <c r="G58" s="195">
        <v>5</v>
      </c>
      <c r="H58" s="287" t="s">
        <v>1383</v>
      </c>
      <c r="I58" s="194" t="s">
        <v>1062</v>
      </c>
      <c r="J58" s="194" t="s">
        <v>1520</v>
      </c>
      <c r="K58" s="59">
        <v>35000</v>
      </c>
      <c r="L58" s="48">
        <f>IF(K58&gt;=Datos!$D$14,(Datos!$D$14*Datos!$C$14),IF(K58&lt;=Datos!$D$14,(K58*Datos!$C$14)))</f>
        <v>1004.5</v>
      </c>
      <c r="M58" s="48">
        <f>IF(K58&gt;=Datos!$D$15,(Datos!$D$15*Datos!$C$15),IF(K58&lt;=Datos!$D$15,(K58*Datos!$C$15)))</f>
        <v>1064</v>
      </c>
      <c r="N58" s="42"/>
      <c r="O58" s="42">
        <f t="shared" ref="O58" si="50">+K58-(L58+M58+N58)</f>
        <v>32931.5</v>
      </c>
      <c r="P58" s="239" t="str">
        <f>IF(O58&lt;=Datos!$G$7,"0",IF(O58&lt;=Datos!$G$8,(O58-Datos!$F$8)*Datos!$I$6,IF(O58&lt;=Datos!$G$9,Datos!$I$8+(O58-Datos!$F$9)*Datos!$J$6,IF(O58&gt;=Datos!$F$10,(Datos!$I$8+Datos!$J$8)+(O58-Datos!$F$10)*Datos!$K$6))))</f>
        <v>0</v>
      </c>
      <c r="Q58" s="42">
        <v>0</v>
      </c>
      <c r="R58" s="238">
        <v>25</v>
      </c>
      <c r="S58" s="42"/>
      <c r="T58" s="42">
        <f t="shared" ref="T58" si="51">SUM(P58:R58)+(L58+M58+N58)-S58</f>
        <v>2093.5</v>
      </c>
      <c r="U58" s="42">
        <f t="shared" ref="U58" si="52">+K58-T58</f>
        <v>32906.5</v>
      </c>
      <c r="V58" s="196">
        <v>9607759063</v>
      </c>
      <c r="W58" s="197">
        <v>45627</v>
      </c>
      <c r="X58" s="197"/>
      <c r="Y58" s="82"/>
      <c r="Z58" s="63"/>
    </row>
    <row r="59" spans="1:26" ht="16.5" customHeight="1" x14ac:dyDescent="0.25">
      <c r="A59" s="318"/>
      <c r="B59" s="310">
        <v>53</v>
      </c>
      <c r="C59" s="195" t="s">
        <v>1326</v>
      </c>
      <c r="D59" s="194" t="s">
        <v>1327</v>
      </c>
      <c r="E59" s="194" t="s">
        <v>85</v>
      </c>
      <c r="F59" s="194" t="s">
        <v>914</v>
      </c>
      <c r="G59" s="195">
        <v>1</v>
      </c>
      <c r="H59" s="287" t="s">
        <v>1352</v>
      </c>
      <c r="I59" s="194" t="s">
        <v>1187</v>
      </c>
      <c r="J59" s="194" t="s">
        <v>894</v>
      </c>
      <c r="K59" s="59">
        <v>65000</v>
      </c>
      <c r="L59" s="48">
        <f>IF(K59&gt;=Datos!$D$14,(Datos!$D$14*Datos!$C$14),IF(K59&lt;=Datos!$D$14,(K59*Datos!$C$14)))</f>
        <v>1865.5</v>
      </c>
      <c r="M59" s="48">
        <f>IF(K59&gt;=Datos!$D$15,(Datos!$D$15*Datos!$C$15),IF(K59&lt;=Datos!$D$15,(K59*Datos!$C$15)))</f>
        <v>1976</v>
      </c>
      <c r="N59" s="42"/>
      <c r="O59" s="42">
        <f t="shared" si="3"/>
        <v>61158.5</v>
      </c>
      <c r="P59" s="239">
        <f>IF(O59&lt;=Datos!$G$7,"0",IF(O59&lt;=Datos!$G$8,(O59-Datos!$F$8)*Datos!$I$6,IF(O59&lt;=Datos!$G$9,Datos!$I$8+(O59-Datos!$F$9)*Datos!$J$6,IF(O59&gt;=Datos!$F$10,(Datos!$I$8+Datos!$J$8)+(O59-Datos!$F$10)*Datos!$K$6))))</f>
        <v>4427.5756666666657</v>
      </c>
      <c r="Q59" s="42">
        <v>6013.05</v>
      </c>
      <c r="R59" s="238">
        <v>25</v>
      </c>
      <c r="S59" s="42"/>
      <c r="T59" s="42">
        <f t="shared" si="4"/>
        <v>14307.125666666667</v>
      </c>
      <c r="U59" s="42">
        <f t="shared" si="5"/>
        <v>50692.874333333333</v>
      </c>
      <c r="V59" s="42"/>
      <c r="W59" s="197">
        <v>45170</v>
      </c>
      <c r="X59" s="197"/>
      <c r="Y59" s="82"/>
      <c r="Z59" s="63"/>
    </row>
    <row r="60" spans="1:26" ht="16.5" customHeight="1" x14ac:dyDescent="0.25">
      <c r="A60" s="318"/>
      <c r="B60" s="310">
        <v>54</v>
      </c>
      <c r="C60" s="195" t="s">
        <v>1667</v>
      </c>
      <c r="D60" s="194" t="s">
        <v>1668</v>
      </c>
      <c r="E60" s="194" t="s">
        <v>85</v>
      </c>
      <c r="F60" s="194" t="s">
        <v>914</v>
      </c>
      <c r="G60" s="195">
        <v>1</v>
      </c>
      <c r="H60" s="287" t="s">
        <v>1491</v>
      </c>
      <c r="I60" s="194" t="s">
        <v>1187</v>
      </c>
      <c r="J60" s="194" t="s">
        <v>936</v>
      </c>
      <c r="K60" s="59">
        <v>60000</v>
      </c>
      <c r="L60" s="48">
        <f>IF(K60&gt;=Datos!$D$14,(Datos!$D$14*Datos!$C$14),IF(K60&lt;=Datos!$D$14,(K60*Datos!$C$14)))</f>
        <v>1722</v>
      </c>
      <c r="M60" s="48">
        <f>IF(K60&gt;=Datos!$D$15,(Datos!$D$15*Datos!$C$15),IF(K60&lt;=Datos!$D$15,(K60*Datos!$C$15)))</f>
        <v>1824</v>
      </c>
      <c r="N60" s="42"/>
      <c r="O60" s="42">
        <f t="shared" si="3"/>
        <v>56454</v>
      </c>
      <c r="P60" s="239">
        <f>IF(O60&lt;=Datos!$G$7,"0",IF(O60&lt;=Datos!$G$8,(O60-Datos!$F$8)*Datos!$I$6,IF(O60&lt;=Datos!$G$9,Datos!$I$8+(O60-Datos!$F$9)*Datos!$J$6,IF(O60&gt;=Datos!$F$10,(Datos!$I$8+Datos!$J$8)+(O60-Datos!$F$10)*Datos!$K$6))))</f>
        <v>3486.6756666666661</v>
      </c>
      <c r="Q60" s="42">
        <v>0</v>
      </c>
      <c r="R60" s="238">
        <v>25</v>
      </c>
      <c r="S60" s="42"/>
      <c r="T60" s="42">
        <f t="shared" si="4"/>
        <v>7057.6756666666661</v>
      </c>
      <c r="U60" s="42">
        <f t="shared" si="5"/>
        <v>52942.324333333338</v>
      </c>
      <c r="V60" s="196">
        <v>9607405819</v>
      </c>
      <c r="W60" s="197">
        <v>45536</v>
      </c>
      <c r="X60" s="197"/>
      <c r="Y60" s="82"/>
      <c r="Z60" s="63"/>
    </row>
    <row r="61" spans="1:26" ht="16.5" customHeight="1" x14ac:dyDescent="0.25">
      <c r="A61" s="318"/>
      <c r="B61" s="310">
        <v>55</v>
      </c>
      <c r="C61" s="195" t="s">
        <v>941</v>
      </c>
      <c r="D61" s="194" t="s">
        <v>1399</v>
      </c>
      <c r="E61" s="194" t="s">
        <v>86</v>
      </c>
      <c r="F61" s="194" t="s">
        <v>914</v>
      </c>
      <c r="G61" s="195">
        <v>1</v>
      </c>
      <c r="H61" s="287" t="s">
        <v>1809</v>
      </c>
      <c r="I61" s="194" t="s">
        <v>1187</v>
      </c>
      <c r="J61" s="194" t="s">
        <v>1832</v>
      </c>
      <c r="K61" s="59">
        <v>135000</v>
      </c>
      <c r="L61" s="42">
        <f>IF(K61&gt;=Datos!$D$14,(Datos!$D$14*Datos!$C$14),IF(K61&lt;=Datos!$D$14,(K61*Datos!$C$14)))</f>
        <v>3874.5</v>
      </c>
      <c r="M61" s="42">
        <f>IF(K61&gt;=Datos!$D$15,(Datos!$D$15*Datos!$C$15),IF(K61&lt;=Datos!$D$15,(K61*Datos!$C$15)))</f>
        <v>4104</v>
      </c>
      <c r="N61" s="42"/>
      <c r="O61" s="42">
        <f t="shared" si="3"/>
        <v>127021.5</v>
      </c>
      <c r="P61" s="239">
        <f>IF(O61&lt;=Datos!$G$7,"0",IF(O61&lt;=Datos!$G$8,(O61-Datos!$F$8)*Datos!$I$6,IF(O61&lt;=Datos!$G$9,Datos!$I$8+(O61-Datos!$F$9)*Datos!$J$6,IF(O61&gt;=Datos!$F$10,(Datos!$I$8+Datos!$J$8)+(O61-Datos!$F$10)*Datos!$K$6))))</f>
        <v>20338.235666666667</v>
      </c>
      <c r="Q61" s="42">
        <v>15866.79</v>
      </c>
      <c r="R61" s="238">
        <v>25</v>
      </c>
      <c r="S61" s="42"/>
      <c r="T61" s="42">
        <f t="shared" si="4"/>
        <v>44208.525666666668</v>
      </c>
      <c r="U61" s="42">
        <f t="shared" si="5"/>
        <v>90791.474333333332</v>
      </c>
      <c r="V61" s="196"/>
      <c r="W61" s="197">
        <v>44652</v>
      </c>
      <c r="X61" s="194"/>
    </row>
    <row r="62" spans="1:26" ht="16.5" customHeight="1" x14ac:dyDescent="0.25">
      <c r="A62" s="318"/>
      <c r="B62" s="310">
        <v>56</v>
      </c>
      <c r="C62" s="195" t="s">
        <v>1053</v>
      </c>
      <c r="D62" s="194" t="s">
        <v>1054</v>
      </c>
      <c r="E62" s="194" t="s">
        <v>86</v>
      </c>
      <c r="F62" s="194" t="s">
        <v>914</v>
      </c>
      <c r="G62" s="195">
        <v>1</v>
      </c>
      <c r="H62" s="287" t="s">
        <v>1491</v>
      </c>
      <c r="I62" s="194" t="s">
        <v>1187</v>
      </c>
      <c r="J62" s="194" t="s">
        <v>853</v>
      </c>
      <c r="K62" s="59">
        <v>50000</v>
      </c>
      <c r="L62" s="48">
        <f>IF(K62&gt;=Datos!$D$14,(Datos!$D$14*Datos!$C$14),IF(K62&lt;=Datos!$D$14,(K62*Datos!$C$14)))</f>
        <v>1435</v>
      </c>
      <c r="M62" s="48">
        <f>IF(K62&gt;=Datos!$D$15,(Datos!$D$15*Datos!$C$15),IF(K62&lt;=Datos!$D$15,(K62*Datos!$C$15)))</f>
        <v>1520</v>
      </c>
      <c r="N62" s="42"/>
      <c r="O62" s="42">
        <f>+K62-(L62+M62+N62)</f>
        <v>47045</v>
      </c>
      <c r="P62" s="239">
        <f>IF(O62&lt;=Datos!$G$7,"0",IF(O62&lt;=Datos!$G$8,(O62-Datos!$F$8)*Datos!$I$6,IF(O62&lt;=Datos!$G$9,Datos!$I$8+(O62-Datos!$F$9)*Datos!$J$6,IF(O62&gt;=Datos!$F$10,(Datos!$I$8+Datos!$J$8)+(O62-Datos!$F$10)*Datos!$K$6))))</f>
        <v>1853.9984999999997</v>
      </c>
      <c r="Q62" s="42">
        <f>IFERROR(VLOOKUP(C62,[1]Hoja1!$D$5:$E$58,2,FALSE),0)</f>
        <v>0</v>
      </c>
      <c r="R62" s="238">
        <v>25</v>
      </c>
      <c r="S62" s="42"/>
      <c r="T62" s="42">
        <f t="shared" si="4"/>
        <v>4833.9984999999997</v>
      </c>
      <c r="U62" s="42">
        <f t="shared" si="5"/>
        <v>45166.001499999998</v>
      </c>
      <c r="V62" s="196"/>
      <c r="W62" s="197">
        <v>44805</v>
      </c>
      <c r="X62" s="194"/>
    </row>
    <row r="63" spans="1:26" ht="16.5" customHeight="1" x14ac:dyDescent="0.25">
      <c r="A63" s="318"/>
      <c r="B63" s="310">
        <v>57</v>
      </c>
      <c r="C63" s="195" t="s">
        <v>480</v>
      </c>
      <c r="D63" s="194" t="s">
        <v>721</v>
      </c>
      <c r="E63" s="194" t="s">
        <v>85</v>
      </c>
      <c r="F63" s="194" t="s">
        <v>914</v>
      </c>
      <c r="G63" s="195">
        <v>6</v>
      </c>
      <c r="H63" s="287" t="s">
        <v>1811</v>
      </c>
      <c r="I63" s="194" t="s">
        <v>1187</v>
      </c>
      <c r="J63" s="194" t="s">
        <v>1792</v>
      </c>
      <c r="K63" s="59">
        <v>135000</v>
      </c>
      <c r="L63" s="48">
        <f>IF(K63&gt;=Datos!$D$14,(Datos!$D$14*Datos!$C$14),IF(K63&lt;=Datos!$D$14,(K63*Datos!$C$14)))</f>
        <v>3874.5</v>
      </c>
      <c r="M63" s="48">
        <f>IF(K63&gt;=Datos!$D$15,(Datos!$D$15*Datos!$C$15),IF(K63&lt;=Datos!$D$15,(K63*Datos!$C$15)))</f>
        <v>4104</v>
      </c>
      <c r="N63" s="42"/>
      <c r="O63" s="42">
        <f>+K63-(L63+M63+N63)</f>
        <v>127021.5</v>
      </c>
      <c r="P63" s="239">
        <f>IF(O63&lt;=Datos!$G$7,"0",IF(O63&lt;=Datos!$G$8,(O63-Datos!$F$8)*Datos!$I$6,IF(O63&lt;=Datos!$G$9,Datos!$I$8+(O63-Datos!$F$9)*Datos!$J$6,IF(O63&gt;=Datos!$F$10,(Datos!$I$8+Datos!$J$8)+(O63-Datos!$F$10)*Datos!$K$6))))</f>
        <v>20338.235666666667</v>
      </c>
      <c r="Q63" s="42"/>
      <c r="R63" s="238">
        <v>25</v>
      </c>
      <c r="S63" s="42"/>
      <c r="T63" s="42">
        <f t="shared" si="4"/>
        <v>28341.735666666667</v>
      </c>
      <c r="U63" s="42">
        <f t="shared" si="5"/>
        <v>106658.26433333333</v>
      </c>
      <c r="V63" s="196"/>
      <c r="W63" s="197">
        <v>45597</v>
      </c>
      <c r="X63" s="194"/>
    </row>
    <row r="64" spans="1:26" ht="16.5" customHeight="1" x14ac:dyDescent="0.25">
      <c r="A64" s="318"/>
      <c r="B64" s="310">
        <v>58</v>
      </c>
      <c r="C64" s="195" t="s">
        <v>1884</v>
      </c>
      <c r="D64" s="194" t="s">
        <v>1885</v>
      </c>
      <c r="E64" s="194" t="s">
        <v>85</v>
      </c>
      <c r="F64" s="194" t="s">
        <v>914</v>
      </c>
      <c r="G64" s="195">
        <v>5</v>
      </c>
      <c r="H64" s="287" t="s">
        <v>1206</v>
      </c>
      <c r="I64" s="194" t="s">
        <v>1062</v>
      </c>
      <c r="J64" s="194" t="s">
        <v>1520</v>
      </c>
      <c r="K64" s="59">
        <v>35000</v>
      </c>
      <c r="L64" s="48">
        <f>IF(K64&gt;=Datos!$D$14,(Datos!$D$14*Datos!$C$14),IF(K64&lt;=Datos!$D$14,(K64*Datos!$C$14)))</f>
        <v>1004.5</v>
      </c>
      <c r="M64" s="48">
        <f>IF(K64&gt;=Datos!$D$15,(Datos!$D$15*Datos!$C$15),IF(K64&lt;=Datos!$D$15,(K64*Datos!$C$15)))</f>
        <v>1064</v>
      </c>
      <c r="N64" s="42"/>
      <c r="O64" s="42">
        <f>+K64-(L64+M64+N64)</f>
        <v>32931.5</v>
      </c>
      <c r="P64" s="239" t="str">
        <f>IF(O64&lt;=Datos!$G$7,"0",IF(O64&lt;=Datos!$G$8,(O64-Datos!$F$8)*Datos!$I$6,IF(O64&lt;=Datos!$G$9,Datos!$I$8+(O64-Datos!$F$9)*Datos!$J$6,IF(O64&gt;=Datos!$F$10,(Datos!$I$8+Datos!$J$8)+(O64-Datos!$F$10)*Datos!$K$6))))</f>
        <v>0</v>
      </c>
      <c r="Q64" s="42"/>
      <c r="R64" s="238">
        <v>25</v>
      </c>
      <c r="S64" s="42"/>
      <c r="T64" s="42">
        <f t="shared" ref="T64" si="53">SUM(P64:R64)+(L64+M64+N64)-S64</f>
        <v>2093.5</v>
      </c>
      <c r="U64" s="42">
        <f t="shared" ref="U64" si="54">+K64-T64</f>
        <v>32906.5</v>
      </c>
      <c r="V64" s="196">
        <v>9607759034</v>
      </c>
      <c r="W64" s="197">
        <v>45627</v>
      </c>
      <c r="X64" s="194"/>
    </row>
    <row r="65" spans="1:26" ht="16.5" customHeight="1" x14ac:dyDescent="0.25">
      <c r="A65" s="318"/>
      <c r="B65" s="310">
        <v>59</v>
      </c>
      <c r="C65" s="195" t="s">
        <v>1908</v>
      </c>
      <c r="D65" s="194" t="s">
        <v>1909</v>
      </c>
      <c r="E65" s="194" t="s">
        <v>85</v>
      </c>
      <c r="F65" s="194" t="s">
        <v>914</v>
      </c>
      <c r="G65" s="195">
        <v>5</v>
      </c>
      <c r="H65" s="287" t="s">
        <v>1383</v>
      </c>
      <c r="I65" s="194" t="s">
        <v>1062</v>
      </c>
      <c r="J65" s="194" t="s">
        <v>1929</v>
      </c>
      <c r="K65" s="59">
        <v>60000</v>
      </c>
      <c r="L65" s="48">
        <f>IF(K65&gt;=Datos!$D$14,(Datos!$D$14*Datos!$C$14),IF(K65&lt;=Datos!$D$14,(K65*Datos!$C$14)))</f>
        <v>1722</v>
      </c>
      <c r="M65" s="48">
        <f>IF(K65&gt;=Datos!$D$15,(Datos!$D$15*Datos!$C$15),IF(K65&lt;=Datos!$D$15,(K65*Datos!$C$15)))</f>
        <v>1824</v>
      </c>
      <c r="N65" s="42"/>
      <c r="O65" s="42">
        <f>+K65-(L65+M65+N65)</f>
        <v>56454</v>
      </c>
      <c r="P65" s="239">
        <f>IF(O65&lt;=Datos!$G$7,"0",IF(O65&lt;=Datos!$G$8,(O65-Datos!$F$8)*Datos!$I$6,IF(O65&lt;=Datos!$G$9,Datos!$I$8+(O65-Datos!$F$9)*Datos!$J$6,IF(O65&gt;=Datos!$F$10,(Datos!$I$8+Datos!$J$8)+(O65-Datos!$F$10)*Datos!$K$6))))</f>
        <v>3486.6756666666661</v>
      </c>
      <c r="Q65" s="42"/>
      <c r="R65" s="238">
        <v>25</v>
      </c>
      <c r="S65" s="42"/>
      <c r="T65" s="42">
        <f t="shared" ref="T65" si="55">SUM(P65:R65)+(L65+M65+N65)-S65</f>
        <v>7057.6756666666661</v>
      </c>
      <c r="U65" s="42">
        <f t="shared" ref="U65" si="56">+K65-T65</f>
        <v>52942.324333333338</v>
      </c>
      <c r="V65" s="196">
        <v>9607759055</v>
      </c>
      <c r="W65" s="197">
        <v>45627</v>
      </c>
      <c r="X65" s="194"/>
    </row>
    <row r="66" spans="1:26" ht="16.5" customHeight="1" x14ac:dyDescent="0.25">
      <c r="A66" s="318"/>
      <c r="B66" s="310">
        <v>60</v>
      </c>
      <c r="C66" s="195" t="s">
        <v>1681</v>
      </c>
      <c r="D66" s="194" t="s">
        <v>1682</v>
      </c>
      <c r="E66" s="194" t="s">
        <v>85</v>
      </c>
      <c r="F66" s="194" t="s">
        <v>914</v>
      </c>
      <c r="G66" s="195">
        <v>4</v>
      </c>
      <c r="H66" s="287" t="s">
        <v>1206</v>
      </c>
      <c r="I66" s="194" t="s">
        <v>1060</v>
      </c>
      <c r="J66" s="194" t="s">
        <v>1588</v>
      </c>
      <c r="K66" s="59">
        <v>60000</v>
      </c>
      <c r="L66" s="48">
        <f>IF(K66&gt;=Datos!$D$14,(Datos!$D$14*Datos!$C$14),IF(K66&lt;=Datos!$D$14,(K66*Datos!$C$14)))</f>
        <v>1722</v>
      </c>
      <c r="M66" s="48">
        <f>IF(K66&gt;=Datos!$D$15,(Datos!$D$15*Datos!$C$15),IF(K66&lt;=Datos!$D$15,(K66*Datos!$C$15)))</f>
        <v>1824</v>
      </c>
      <c r="N66" s="42"/>
      <c r="O66" s="42">
        <f t="shared" si="3"/>
        <v>56454</v>
      </c>
      <c r="P66" s="239">
        <f>IF(O66&lt;=Datos!$G$7,"0",IF(O66&lt;=Datos!$G$8,(O66-Datos!$F$8)*Datos!$I$6,IF(O66&lt;=Datos!$G$9,Datos!$I$8+(O66-Datos!$F$9)*Datos!$J$6,IF(O66&gt;=Datos!$F$10,(Datos!$I$8+Datos!$J$8)+(O66-Datos!$F$10)*Datos!$K$6))))</f>
        <v>3486.6756666666661</v>
      </c>
      <c r="Q66" s="42">
        <v>0</v>
      </c>
      <c r="R66" s="238">
        <v>25</v>
      </c>
      <c r="S66" s="42"/>
      <c r="T66" s="42">
        <f t="shared" si="4"/>
        <v>7057.6756666666661</v>
      </c>
      <c r="U66" s="42">
        <f t="shared" si="5"/>
        <v>52942.324333333338</v>
      </c>
      <c r="V66" s="196">
        <v>9607405788</v>
      </c>
      <c r="W66" s="197">
        <v>45536</v>
      </c>
      <c r="X66" s="194"/>
    </row>
    <row r="67" spans="1:26" ht="16.5" customHeight="1" x14ac:dyDescent="0.25">
      <c r="A67" s="318"/>
      <c r="B67" s="310">
        <v>61</v>
      </c>
      <c r="C67" s="195" t="s">
        <v>1882</v>
      </c>
      <c r="D67" s="194" t="s">
        <v>1883</v>
      </c>
      <c r="E67" s="194" t="s">
        <v>85</v>
      </c>
      <c r="F67" s="194" t="s">
        <v>914</v>
      </c>
      <c r="G67" s="195">
        <v>5</v>
      </c>
      <c r="H67" s="287" t="s">
        <v>1383</v>
      </c>
      <c r="I67" s="194" t="s">
        <v>1062</v>
      </c>
      <c r="J67" s="194" t="s">
        <v>1520</v>
      </c>
      <c r="K67" s="59">
        <v>35000</v>
      </c>
      <c r="L67" s="48">
        <f>IF(K67&gt;=Datos!$D$14,(Datos!$D$14*Datos!$C$14),IF(K67&lt;=Datos!$D$14,(K67*Datos!$C$14)))</f>
        <v>1004.5</v>
      </c>
      <c r="M67" s="48">
        <f>IF(K67&gt;=Datos!$D$15,(Datos!$D$15*Datos!$C$15),IF(K67&lt;=Datos!$D$15,(K67*Datos!$C$15)))</f>
        <v>1064</v>
      </c>
      <c r="N67" s="42"/>
      <c r="O67" s="42">
        <f t="shared" ref="O67" si="57">+K67-(L67+M67+N67)</f>
        <v>32931.5</v>
      </c>
      <c r="P67" s="239" t="str">
        <f>IF(O67&lt;=Datos!$G$7,"0",IF(O67&lt;=Datos!$G$8,(O67-Datos!$F$8)*Datos!$I$6,IF(O67&lt;=Datos!$G$9,Datos!$I$8+(O67-Datos!$F$9)*Datos!$J$6,IF(O67&gt;=Datos!$F$10,(Datos!$I$8+Datos!$J$8)+(O67-Datos!$F$10)*Datos!$K$6))))</f>
        <v>0</v>
      </c>
      <c r="Q67" s="42">
        <v>0</v>
      </c>
      <c r="R67" s="238">
        <v>25</v>
      </c>
      <c r="S67" s="42"/>
      <c r="T67" s="42">
        <f t="shared" ref="T67" si="58">SUM(P67:R67)+(L67+M67+N67)-S67</f>
        <v>2093.5</v>
      </c>
      <c r="U67" s="42">
        <f t="shared" ref="U67" si="59">+K67-T67</f>
        <v>32906.5</v>
      </c>
      <c r="V67" s="196">
        <v>9607759050</v>
      </c>
      <c r="W67" s="197">
        <v>45627</v>
      </c>
      <c r="X67" s="194"/>
    </row>
    <row r="68" spans="1:26" ht="16.5" customHeight="1" x14ac:dyDescent="0.25">
      <c r="A68" s="318"/>
      <c r="B68" s="310">
        <v>62</v>
      </c>
      <c r="C68" s="195" t="s">
        <v>1922</v>
      </c>
      <c r="D68" s="194" t="s">
        <v>1923</v>
      </c>
      <c r="E68" s="194" t="s">
        <v>85</v>
      </c>
      <c r="F68" s="194" t="s">
        <v>914</v>
      </c>
      <c r="G68" s="195">
        <v>1</v>
      </c>
      <c r="H68" s="287" t="s">
        <v>1827</v>
      </c>
      <c r="I68" s="194" t="s">
        <v>1061</v>
      </c>
      <c r="J68" s="194" t="s">
        <v>1787</v>
      </c>
      <c r="K68" s="59">
        <v>70000</v>
      </c>
      <c r="L68" s="48">
        <f>IF(K68&gt;=Datos!$D$14,(Datos!$D$14*Datos!$C$14),IF(K68&lt;=Datos!$D$14,(K68*Datos!$C$14)))</f>
        <v>2009</v>
      </c>
      <c r="M68" s="48">
        <f>IF(K68&gt;=Datos!$D$15,(Datos!$D$15*Datos!$C$15),IF(K68&lt;=Datos!$D$15,(K68*Datos!$C$15)))</f>
        <v>2128</v>
      </c>
      <c r="N68" s="42"/>
      <c r="O68" s="42">
        <f t="shared" ref="O68" si="60">+K68-(L68+M68+N68)</f>
        <v>65863</v>
      </c>
      <c r="P68" s="239">
        <f>IF(O68&lt;=Datos!$G$7,"0",IF(O68&lt;=Datos!$G$8,(O68-Datos!$F$8)*Datos!$I$6,IF(O68&lt;=Datos!$G$9,Datos!$I$8+(O68-Datos!$F$9)*Datos!$J$6,IF(O68&gt;=Datos!$F$10,(Datos!$I$8+Datos!$J$8)+(O68-Datos!$F$10)*Datos!$K$6))))</f>
        <v>5368.4756666666663</v>
      </c>
      <c r="Q68" s="42">
        <v>0</v>
      </c>
      <c r="R68" s="238">
        <v>25</v>
      </c>
      <c r="S68" s="42"/>
      <c r="T68" s="42">
        <f t="shared" ref="T68" si="61">SUM(P68:R68)+(L68+M68+N68)-S68</f>
        <v>9530.4756666666653</v>
      </c>
      <c r="U68" s="42">
        <f t="shared" ref="U68" si="62">+K68-T68</f>
        <v>60469.524333333335</v>
      </c>
      <c r="V68" s="196">
        <v>9607759057</v>
      </c>
      <c r="W68" s="197">
        <v>45627</v>
      </c>
      <c r="X68" s="194"/>
    </row>
    <row r="69" spans="1:26" ht="16.5" customHeight="1" x14ac:dyDescent="0.25">
      <c r="A69" s="318"/>
      <c r="B69" s="310">
        <v>63</v>
      </c>
      <c r="C69" s="195" t="s">
        <v>889</v>
      </c>
      <c r="D69" s="194" t="s">
        <v>890</v>
      </c>
      <c r="E69" s="194" t="s">
        <v>85</v>
      </c>
      <c r="F69" s="194" t="s">
        <v>914</v>
      </c>
      <c r="G69" s="195">
        <v>1</v>
      </c>
      <c r="H69" s="287" t="s">
        <v>1827</v>
      </c>
      <c r="I69" s="194" t="s">
        <v>1187</v>
      </c>
      <c r="J69" s="194" t="s">
        <v>891</v>
      </c>
      <c r="K69" s="59">
        <f>120000+25000</f>
        <v>145000</v>
      </c>
      <c r="L69" s="48">
        <f>IF(K69&gt;=Datos!$D$14,(Datos!$D$14*Datos!$C$14),IF(K69&lt;=Datos!$D$14,(K69*Datos!$C$14)))</f>
        <v>4161.5</v>
      </c>
      <c r="M69" s="48">
        <f>IF(K69&gt;=Datos!$D$15,(Datos!$D$15*Datos!$C$15),IF(K69&lt;=Datos!$D$15,(K69*Datos!$C$15)))</f>
        <v>4408</v>
      </c>
      <c r="N69" s="42"/>
      <c r="O69" s="42">
        <f t="shared" si="3"/>
        <v>136430.5</v>
      </c>
      <c r="P69" s="239">
        <f>IF(O69&lt;=Datos!$G$7,"0",IF(O69&lt;=Datos!$G$8,(O69-Datos!$F$8)*Datos!$I$6,IF(O69&lt;=Datos!$G$9,Datos!$I$8+(O69-Datos!$F$9)*Datos!$J$6,IF(O69&gt;=Datos!$F$10,(Datos!$I$8+Datos!$J$8)+(O69-Datos!$F$10)*Datos!$K$6))))</f>
        <v>22690.485666666667</v>
      </c>
      <c r="Q69" s="42">
        <f>IFERROR(VLOOKUP(C69,[1]Hoja1!$D$5:$E$58,2,FALSE),0)</f>
        <v>0</v>
      </c>
      <c r="R69" s="238">
        <v>25</v>
      </c>
      <c r="S69" s="42"/>
      <c r="T69" s="42">
        <f t="shared" si="4"/>
        <v>31284.985666666667</v>
      </c>
      <c r="U69" s="42">
        <f t="shared" si="5"/>
        <v>113715.01433333333</v>
      </c>
      <c r="V69" s="196"/>
      <c r="W69" s="197">
        <v>44593</v>
      </c>
      <c r="X69" s="194"/>
    </row>
    <row r="70" spans="1:26" ht="16.5" customHeight="1" x14ac:dyDescent="0.25">
      <c r="A70" s="318"/>
      <c r="B70" s="310">
        <v>64</v>
      </c>
      <c r="C70" s="195" t="s">
        <v>1872</v>
      </c>
      <c r="D70" s="194" t="s">
        <v>1873</v>
      </c>
      <c r="E70" s="194" t="s">
        <v>85</v>
      </c>
      <c r="F70" s="194" t="s">
        <v>914</v>
      </c>
      <c r="G70" s="195">
        <v>1</v>
      </c>
      <c r="H70" s="287" t="s">
        <v>1927</v>
      </c>
      <c r="I70" s="194" t="s">
        <v>1187</v>
      </c>
      <c r="J70" s="194" t="s">
        <v>1928</v>
      </c>
      <c r="K70" s="59">
        <v>60000</v>
      </c>
      <c r="L70" s="48">
        <f>IF(K70&gt;=Datos!$D$14,(Datos!$D$14*Datos!$C$14),IF(K70&lt;=Datos!$D$14,(K70*Datos!$C$14)))</f>
        <v>1722</v>
      </c>
      <c r="M70" s="48">
        <f>IF(K70&gt;=Datos!$D$15,(Datos!$D$15*Datos!$C$15),IF(K70&lt;=Datos!$D$15,(K70*Datos!$C$15)))</f>
        <v>1824</v>
      </c>
      <c r="N70" s="42"/>
      <c r="O70" s="42">
        <f t="shared" ref="O70" si="63">+K70-(L70+M70+N70)</f>
        <v>56454</v>
      </c>
      <c r="P70" s="239">
        <f>IF(O70&lt;=Datos!$G$7,"0",IF(O70&lt;=Datos!$G$8,(O70-Datos!$F$8)*Datos!$I$6,IF(O70&lt;=Datos!$G$9,Datos!$I$8+(O70-Datos!$F$9)*Datos!$J$6,IF(O70&gt;=Datos!$F$10,(Datos!$I$8+Datos!$J$8)+(O70-Datos!$F$10)*Datos!$K$6))))</f>
        <v>3486.6756666666661</v>
      </c>
      <c r="Q70" s="42">
        <f>IFERROR(VLOOKUP(C70,[1]Hoja1!$D$5:$E$58,2,FALSE),0)</f>
        <v>0</v>
      </c>
      <c r="R70" s="238">
        <v>25</v>
      </c>
      <c r="S70" s="42"/>
      <c r="T70" s="42">
        <f t="shared" ref="T70" si="64">SUM(P70:R70)+(L70+M70+N70)-S70</f>
        <v>7057.6756666666661</v>
      </c>
      <c r="U70" s="42">
        <f t="shared" ref="U70" si="65">+K70-T70</f>
        <v>52942.324333333338</v>
      </c>
      <c r="V70" s="196">
        <v>9607759038</v>
      </c>
      <c r="W70" s="197">
        <v>45627</v>
      </c>
      <c r="X70" s="194"/>
    </row>
    <row r="71" spans="1:26" ht="16.5" customHeight="1" x14ac:dyDescent="0.25">
      <c r="A71" s="318"/>
      <c r="B71" s="310">
        <v>65</v>
      </c>
      <c r="C71" s="195" t="s">
        <v>911</v>
      </c>
      <c r="D71" s="194" t="s">
        <v>910</v>
      </c>
      <c r="E71" s="194" t="s">
        <v>85</v>
      </c>
      <c r="F71" s="194" t="s">
        <v>914</v>
      </c>
      <c r="G71" s="195">
        <v>1</v>
      </c>
      <c r="H71" s="287" t="s">
        <v>1746</v>
      </c>
      <c r="I71" s="194" t="s">
        <v>1187</v>
      </c>
      <c r="J71" s="194" t="s">
        <v>1349</v>
      </c>
      <c r="K71" s="59">
        <v>105000</v>
      </c>
      <c r="L71" s="48">
        <f>IF(K71&gt;=Datos!$D$14,(Datos!$D$14*Datos!$C$14),IF(K71&lt;=Datos!$D$14,(K71*Datos!$C$14)))</f>
        <v>3013.5</v>
      </c>
      <c r="M71" s="48">
        <f>IF(K71&gt;=Datos!$D$15,(Datos!$D$15*Datos!$C$15),IF(K71&lt;=Datos!$D$15,(K71*Datos!$C$15)))</f>
        <v>3192</v>
      </c>
      <c r="N71" s="42">
        <v>1715.46</v>
      </c>
      <c r="O71" s="42">
        <f t="shared" si="3"/>
        <v>97079.039999999994</v>
      </c>
      <c r="P71" s="239">
        <f>IF(O71&lt;=Datos!$G$7,"0",IF(O71&lt;=Datos!$G$8,(O71-Datos!$F$8)*Datos!$I$6,IF(O71&lt;=Datos!$G$9,Datos!$I$8+(O71-Datos!$F$9)*Datos!$J$6,IF(O71&gt;=Datos!$F$10,(Datos!$I$8+Datos!$J$8)+(O71-Datos!$F$10)*Datos!$K$6))))</f>
        <v>12852.620666666666</v>
      </c>
      <c r="Q71" s="42">
        <f>IFERROR(VLOOKUP(C71,[1]Hoja1!$D$5:$E$58,2,FALSE),0)</f>
        <v>0</v>
      </c>
      <c r="R71" s="238">
        <v>25</v>
      </c>
      <c r="S71" s="42"/>
      <c r="T71" s="42">
        <f t="shared" si="4"/>
        <v>20798.580666666665</v>
      </c>
      <c r="U71" s="42">
        <f t="shared" si="5"/>
        <v>84201.419333333339</v>
      </c>
      <c r="V71" s="42"/>
      <c r="W71" s="197">
        <v>44621</v>
      </c>
      <c r="X71" s="197"/>
      <c r="Y71" s="82"/>
      <c r="Z71" s="63"/>
    </row>
    <row r="72" spans="1:26" ht="16.5" customHeight="1" x14ac:dyDescent="0.25">
      <c r="A72" s="318"/>
      <c r="B72" s="310">
        <v>66</v>
      </c>
      <c r="C72" s="195" t="s">
        <v>1683</v>
      </c>
      <c r="D72" s="194" t="s">
        <v>1684</v>
      </c>
      <c r="E72" s="194" t="s">
        <v>85</v>
      </c>
      <c r="F72" s="194" t="s">
        <v>914</v>
      </c>
      <c r="G72" s="195">
        <v>5</v>
      </c>
      <c r="H72" s="287" t="s">
        <v>1383</v>
      </c>
      <c r="I72" s="194" t="s">
        <v>1061</v>
      </c>
      <c r="J72" s="194" t="s">
        <v>960</v>
      </c>
      <c r="K72" s="59">
        <v>60000</v>
      </c>
      <c r="L72" s="48">
        <f>IF(K72&gt;=Datos!$D$14,(Datos!$D$14*Datos!$C$14),IF(K72&lt;=Datos!$D$14,(K72*Datos!$C$14)))</f>
        <v>1722</v>
      </c>
      <c r="M72" s="48">
        <f>IF(K72&gt;=Datos!$D$15,(Datos!$D$15*Datos!$C$15),IF(K72&lt;=Datos!$D$15,(K72*Datos!$C$15)))</f>
        <v>1824</v>
      </c>
      <c r="N72" s="42"/>
      <c r="O72" s="42">
        <f t="shared" si="3"/>
        <v>56454</v>
      </c>
      <c r="P72" s="239">
        <f>IF(O72&lt;=Datos!$G$7,"0",IF(O72&lt;=Datos!$G$8,(O72-Datos!$F$8)*Datos!$I$6,IF(O72&lt;=Datos!$G$9,Datos!$I$8+(O72-Datos!$F$9)*Datos!$J$6,IF(O72&gt;=Datos!$F$10,(Datos!$I$8+Datos!$J$8)+(O72-Datos!$F$10)*Datos!$K$6))))</f>
        <v>3486.6756666666661</v>
      </c>
      <c r="Q72" s="42">
        <v>0</v>
      </c>
      <c r="R72" s="238">
        <v>25</v>
      </c>
      <c r="S72" s="42"/>
      <c r="T72" s="42">
        <f t="shared" si="4"/>
        <v>7057.6756666666661</v>
      </c>
      <c r="U72" s="42">
        <f t="shared" si="5"/>
        <v>52942.324333333338</v>
      </c>
      <c r="V72" s="196">
        <v>9607405804</v>
      </c>
      <c r="W72" s="197">
        <v>45536</v>
      </c>
      <c r="X72" s="197"/>
      <c r="Y72" s="82"/>
      <c r="Z72" s="63"/>
    </row>
    <row r="73" spans="1:26" ht="16.5" customHeight="1" x14ac:dyDescent="0.25">
      <c r="A73" s="318"/>
      <c r="B73" s="310">
        <v>67</v>
      </c>
      <c r="C73" s="195" t="s">
        <v>991</v>
      </c>
      <c r="D73" s="194" t="s">
        <v>992</v>
      </c>
      <c r="E73" s="194" t="s">
        <v>85</v>
      </c>
      <c r="F73" s="194" t="s">
        <v>914</v>
      </c>
      <c r="G73" s="195">
        <v>1</v>
      </c>
      <c r="H73" s="287" t="s">
        <v>1833</v>
      </c>
      <c r="I73" s="194" t="s">
        <v>1187</v>
      </c>
      <c r="J73" s="194" t="s">
        <v>1231</v>
      </c>
      <c r="K73" s="59">
        <v>120000</v>
      </c>
      <c r="L73" s="48">
        <f>IF(K73&gt;=Datos!$D$14,(Datos!$D$14*Datos!$C$14),IF(K73&lt;=Datos!$D$14,(K73*Datos!$C$14)))</f>
        <v>3444</v>
      </c>
      <c r="M73" s="48">
        <f>IF(K73&gt;=Datos!$D$15,(Datos!$D$15*Datos!$C$15),IF(K73&lt;=Datos!$D$15,(K73*Datos!$C$15)))</f>
        <v>3648</v>
      </c>
      <c r="N73" s="42"/>
      <c r="O73" s="42">
        <f t="shared" si="3"/>
        <v>112908</v>
      </c>
      <c r="P73" s="239">
        <f>IF(O73&lt;=Datos!$G$7,"0",IF(O73&lt;=Datos!$G$8,(O73-Datos!$F$8)*Datos!$I$6,IF(O73&lt;=Datos!$G$9,Datos!$I$8+(O73-Datos!$F$9)*Datos!$J$6,IF(O73&gt;=Datos!$F$10,(Datos!$I$8+Datos!$J$8)+(O73-Datos!$F$10)*Datos!$K$6))))</f>
        <v>16809.860666666667</v>
      </c>
      <c r="Q73" s="42">
        <f>IFERROR(VLOOKUP(C73,[1]Hoja1!$D$5:$E$58,2,FALSE),0)</f>
        <v>0</v>
      </c>
      <c r="R73" s="238">
        <v>25</v>
      </c>
      <c r="S73" s="42"/>
      <c r="T73" s="42">
        <f t="shared" si="4"/>
        <v>23926.860666666667</v>
      </c>
      <c r="U73" s="42">
        <f t="shared" si="5"/>
        <v>96073.139333333325</v>
      </c>
      <c r="V73" s="42"/>
      <c r="W73" s="197">
        <v>44743</v>
      </c>
      <c r="X73" s="197"/>
      <c r="Y73" s="82"/>
      <c r="Z73" s="63"/>
    </row>
    <row r="74" spans="1:26" ht="16.5" customHeight="1" x14ac:dyDescent="0.25">
      <c r="A74" s="318"/>
      <c r="B74" s="310">
        <v>68</v>
      </c>
      <c r="C74" s="195" t="s">
        <v>1910</v>
      </c>
      <c r="D74" s="194" t="s">
        <v>1911</v>
      </c>
      <c r="E74" s="194" t="s">
        <v>85</v>
      </c>
      <c r="F74" s="194" t="s">
        <v>914</v>
      </c>
      <c r="G74" s="195">
        <v>5</v>
      </c>
      <c r="H74" s="287" t="s">
        <v>1383</v>
      </c>
      <c r="I74" s="194" t="s">
        <v>1062</v>
      </c>
      <c r="J74" s="194" t="s">
        <v>1520</v>
      </c>
      <c r="K74" s="59">
        <v>35000</v>
      </c>
      <c r="L74" s="48">
        <f>IF(K74&gt;=Datos!$D$14,(Datos!$D$14*Datos!$C$14),IF(K74&lt;=Datos!$D$14,(K74*Datos!$C$14)))</f>
        <v>1004.5</v>
      </c>
      <c r="M74" s="48">
        <f>IF(K74&gt;=Datos!$D$15,(Datos!$D$15*Datos!$C$15),IF(K74&lt;=Datos!$D$15,(K74*Datos!$C$15)))</f>
        <v>1064</v>
      </c>
      <c r="N74" s="42"/>
      <c r="O74" s="42">
        <f t="shared" ref="O74" si="66">+K74-(L74+M74+N74)</f>
        <v>32931.5</v>
      </c>
      <c r="P74" s="239" t="str">
        <f>IF(O74&lt;=Datos!$G$7,"0",IF(O74&lt;=Datos!$G$8,(O74-Datos!$F$8)*Datos!$I$6,IF(O74&lt;=Datos!$G$9,Datos!$I$8+(O74-Datos!$F$9)*Datos!$J$6,IF(O74&gt;=Datos!$F$10,(Datos!$I$8+Datos!$J$8)+(O74-Datos!$F$10)*Datos!$K$6))))</f>
        <v>0</v>
      </c>
      <c r="Q74" s="42">
        <f>IFERROR(VLOOKUP(C74,[1]Hoja1!$D$5:$E$58,2,FALSE),0)</f>
        <v>0</v>
      </c>
      <c r="R74" s="238">
        <v>25</v>
      </c>
      <c r="S74" s="42"/>
      <c r="T74" s="42">
        <f t="shared" ref="T74" si="67">SUM(P74:R74)+(L74+M74+N74)-S74</f>
        <v>2093.5</v>
      </c>
      <c r="U74" s="42">
        <f t="shared" ref="U74" si="68">+K74-T74</f>
        <v>32906.5</v>
      </c>
      <c r="V74" s="321">
        <v>9607759030</v>
      </c>
      <c r="W74" s="197">
        <v>45627</v>
      </c>
      <c r="X74" s="197"/>
      <c r="Y74" s="82"/>
      <c r="Z74" s="63"/>
    </row>
    <row r="75" spans="1:26" ht="16.5" customHeight="1" x14ac:dyDescent="0.25">
      <c r="A75" s="318"/>
      <c r="B75" s="310">
        <v>69</v>
      </c>
      <c r="C75" s="195" t="s">
        <v>1665</v>
      </c>
      <c r="D75" s="194" t="s">
        <v>1666</v>
      </c>
      <c r="E75" s="194" t="s">
        <v>85</v>
      </c>
      <c r="F75" s="194" t="s">
        <v>914</v>
      </c>
      <c r="G75" s="195">
        <v>1</v>
      </c>
      <c r="H75" s="287" t="s">
        <v>1502</v>
      </c>
      <c r="I75" s="194" t="s">
        <v>1060</v>
      </c>
      <c r="J75" s="194" t="s">
        <v>1607</v>
      </c>
      <c r="K75" s="59">
        <v>50000</v>
      </c>
      <c r="L75" s="48">
        <f>IF(K75&gt;=Datos!$D$14,(Datos!$D$14*Datos!$C$14),IF(K75&lt;=Datos!$D$14,(K75*Datos!$C$14)))</f>
        <v>1435</v>
      </c>
      <c r="M75" s="48">
        <f>IF(K75&gt;=Datos!$D$15,(Datos!$D$15*Datos!$C$15),IF(K75&lt;=Datos!$D$15,(K75*Datos!$C$15)))</f>
        <v>1520</v>
      </c>
      <c r="N75" s="42"/>
      <c r="O75" s="42">
        <f t="shared" si="3"/>
        <v>47045</v>
      </c>
      <c r="P75" s="239">
        <f>IF(O75&lt;=Datos!$G$7,"0",IF(O75&lt;=Datos!$G$8,(O75-Datos!$F$8)*Datos!$I$6,IF(O75&lt;=Datos!$G$9,Datos!$I$8+(O75-Datos!$F$9)*Datos!$J$6,IF(O75&gt;=Datos!$F$10,(Datos!$I$8+Datos!$J$8)+(O75-Datos!$F$10)*Datos!$K$6))))</f>
        <v>1853.9984999999997</v>
      </c>
      <c r="Q75" s="42">
        <v>0</v>
      </c>
      <c r="R75" s="238">
        <v>25</v>
      </c>
      <c r="S75" s="42"/>
      <c r="T75" s="42">
        <f t="shared" si="4"/>
        <v>4833.9984999999997</v>
      </c>
      <c r="U75" s="42">
        <f t="shared" si="5"/>
        <v>45166.001499999998</v>
      </c>
      <c r="V75" s="297">
        <v>9602337488</v>
      </c>
      <c r="W75" s="197">
        <v>45536</v>
      </c>
      <c r="X75" s="197"/>
      <c r="Y75" s="82"/>
      <c r="Z75" s="63"/>
    </row>
    <row r="76" spans="1:26" ht="16.5" customHeight="1" x14ac:dyDescent="0.25">
      <c r="A76" s="318"/>
      <c r="B76" s="310">
        <v>70</v>
      </c>
      <c r="C76" s="195" t="s">
        <v>1878</v>
      </c>
      <c r="D76" s="194" t="s">
        <v>1879</v>
      </c>
      <c r="E76" s="194" t="s">
        <v>85</v>
      </c>
      <c r="F76" s="194" t="s">
        <v>914</v>
      </c>
      <c r="G76" s="195">
        <v>5</v>
      </c>
      <c r="H76" s="287" t="s">
        <v>1383</v>
      </c>
      <c r="I76" s="194" t="s">
        <v>1062</v>
      </c>
      <c r="J76" s="194" t="s">
        <v>1520</v>
      </c>
      <c r="K76" s="59">
        <v>35000</v>
      </c>
      <c r="L76" s="48">
        <f>IF(K76&gt;=Datos!$D$14,(Datos!$D$14*Datos!$C$14),IF(K76&lt;=Datos!$D$14,(K76*Datos!$C$14)))</f>
        <v>1004.5</v>
      </c>
      <c r="M76" s="48">
        <f>IF(K76&gt;=Datos!$D$15,(Datos!$D$15*Datos!$C$15),IF(K76&lt;=Datos!$D$15,(K76*Datos!$C$15)))</f>
        <v>1064</v>
      </c>
      <c r="N76" s="42"/>
      <c r="O76" s="42">
        <f t="shared" ref="O76" si="69">+K76-(L76+M76+N76)</f>
        <v>32931.5</v>
      </c>
      <c r="P76" s="239" t="str">
        <f>IF(O76&lt;=Datos!$G$7,"0",IF(O76&lt;=Datos!$G$8,(O76-Datos!$F$8)*Datos!$I$6,IF(O76&lt;=Datos!$G$9,Datos!$I$8+(O76-Datos!$F$9)*Datos!$J$6,IF(O76&gt;=Datos!$F$10,(Datos!$I$8+Datos!$J$8)+(O76-Datos!$F$10)*Datos!$K$6))))</f>
        <v>0</v>
      </c>
      <c r="Q76" s="42">
        <v>0</v>
      </c>
      <c r="R76" s="238">
        <v>25</v>
      </c>
      <c r="S76" s="42"/>
      <c r="T76" s="42">
        <f t="shared" ref="T76" si="70">SUM(P76:R76)+(L76+M76+N76)-S76</f>
        <v>2093.5</v>
      </c>
      <c r="U76" s="42">
        <f t="shared" ref="U76" si="71">+K76-T76</f>
        <v>32906.5</v>
      </c>
      <c r="V76" s="297">
        <v>9607761784</v>
      </c>
      <c r="W76" s="197">
        <v>45627</v>
      </c>
      <c r="X76" s="197"/>
      <c r="Y76" s="82"/>
      <c r="Z76" s="63"/>
    </row>
    <row r="77" spans="1:26" ht="16.5" customHeight="1" x14ac:dyDescent="0.25">
      <c r="A77" s="318"/>
      <c r="B77" s="310">
        <v>71</v>
      </c>
      <c r="C77" s="195" t="s">
        <v>1552</v>
      </c>
      <c r="D77" s="194" t="s">
        <v>1553</v>
      </c>
      <c r="E77" s="194" t="s">
        <v>85</v>
      </c>
      <c r="F77" s="194" t="s">
        <v>914</v>
      </c>
      <c r="G77" s="195">
        <v>1</v>
      </c>
      <c r="H77" s="287" t="s">
        <v>1155</v>
      </c>
      <c r="I77" s="194" t="s">
        <v>1187</v>
      </c>
      <c r="J77" s="194" t="s">
        <v>1444</v>
      </c>
      <c r="K77" s="59">
        <v>60000</v>
      </c>
      <c r="L77" s="48">
        <f>IF(K77&gt;=Datos!$D$14,(Datos!$D$14*Datos!$C$14),IF(K77&lt;=Datos!$D$14,(K77*Datos!$C$14)))</f>
        <v>1722</v>
      </c>
      <c r="M77" s="48">
        <f>IF(K77&gt;=Datos!$D$15,(Datos!$D$15*Datos!$C$15),IF(K77&lt;=Datos!$D$15,(K77*Datos!$C$15)))</f>
        <v>1824</v>
      </c>
      <c r="N77" s="42">
        <v>1715.46</v>
      </c>
      <c r="O77" s="42">
        <f t="shared" si="3"/>
        <v>54738.54</v>
      </c>
      <c r="P77" s="239">
        <f>IF(O77&lt;=Datos!$G$7,"0",IF(O77&lt;=Datos!$G$8,(O77-Datos!$F$8)*Datos!$I$6,IF(O77&lt;=Datos!$G$9,Datos!$I$8+(O77-Datos!$F$9)*Datos!$J$6,IF(O77&gt;=Datos!$F$10,(Datos!$I$8+Datos!$J$8)+(O77-Datos!$F$10)*Datos!$K$6))))</f>
        <v>3143.5836666666664</v>
      </c>
      <c r="Q77" s="42">
        <f>IFERROR(VLOOKUP(C77,[1]Hoja1!$D$5:$E$58,2,FALSE),0)</f>
        <v>0</v>
      </c>
      <c r="R77" s="238">
        <v>25</v>
      </c>
      <c r="S77" s="42"/>
      <c r="T77" s="42">
        <f t="shared" si="4"/>
        <v>8430.0436666666665</v>
      </c>
      <c r="U77" s="42">
        <f t="shared" si="5"/>
        <v>51569.956333333335</v>
      </c>
      <c r="V77" s="297">
        <v>9607078059</v>
      </c>
      <c r="W77" s="197">
        <v>45413</v>
      </c>
      <c r="X77" s="197"/>
      <c r="Y77" s="82"/>
      <c r="Z77" s="63"/>
    </row>
    <row r="78" spans="1:26" ht="16.5" customHeight="1" x14ac:dyDescent="0.25">
      <c r="A78" s="318"/>
      <c r="B78" s="310">
        <v>72</v>
      </c>
      <c r="C78" s="195" t="s">
        <v>1523</v>
      </c>
      <c r="D78" s="194" t="s">
        <v>1524</v>
      </c>
      <c r="E78" s="194" t="s">
        <v>85</v>
      </c>
      <c r="F78" s="194" t="s">
        <v>914</v>
      </c>
      <c r="G78" s="195">
        <v>1</v>
      </c>
      <c r="H78" s="287" t="s">
        <v>1830</v>
      </c>
      <c r="I78" s="194" t="s">
        <v>1187</v>
      </c>
      <c r="J78" s="194" t="s">
        <v>1790</v>
      </c>
      <c r="K78" s="59">
        <v>105000</v>
      </c>
      <c r="L78" s="48">
        <f>IF(K78&gt;=Datos!$D$14,(Datos!$D$14*Datos!$C$14),IF(K78&lt;=Datos!$D$14,(K78*Datos!$C$14)))</f>
        <v>3013.5</v>
      </c>
      <c r="M78" s="48">
        <f>IF(K78&gt;=Datos!$D$15,(Datos!$D$15*Datos!$C$15),IF(K78&lt;=Datos!$D$15,(K78*Datos!$C$15)))</f>
        <v>3192</v>
      </c>
      <c r="N78" s="42">
        <v>1715.46</v>
      </c>
      <c r="O78" s="42">
        <f t="shared" ref="O78" si="72">K78-(L78+M78+N78)</f>
        <v>97079.039999999994</v>
      </c>
      <c r="P78" s="239">
        <f>IF(O78&lt;=Datos!$G$7,"0",IF(O78&lt;=Datos!$G$8,(O78-Datos!$F$8)*Datos!$I$6,IF(O78&lt;=Datos!$G$9,Datos!$I$8+(O78-Datos!$F$9)*Datos!$J$6,IF(O78&gt;=Datos!$F$10,(Datos!$I$8+Datos!$J$8)+(O78-Datos!$F$10)*Datos!$K$6))))</f>
        <v>12852.620666666666</v>
      </c>
      <c r="Q78" s="42">
        <f>IFERROR(VLOOKUP(C78,[1]Hoja1!$D$5:$E$58,2,FALSE),0)</f>
        <v>0</v>
      </c>
      <c r="R78" s="238">
        <v>25</v>
      </c>
      <c r="S78" s="42"/>
      <c r="T78" s="42">
        <f t="shared" si="4"/>
        <v>20798.580666666665</v>
      </c>
      <c r="U78" s="42">
        <f t="shared" si="5"/>
        <v>84201.419333333339</v>
      </c>
      <c r="V78" s="196">
        <v>9606937490</v>
      </c>
      <c r="W78" s="197">
        <v>45383</v>
      </c>
      <c r="X78" s="194"/>
    </row>
    <row r="79" spans="1:26" ht="16.5" customHeight="1" x14ac:dyDescent="0.25">
      <c r="A79" s="318"/>
      <c r="B79" s="310">
        <v>73</v>
      </c>
      <c r="C79" s="195" t="s">
        <v>1147</v>
      </c>
      <c r="D79" s="194" t="s">
        <v>1146</v>
      </c>
      <c r="E79" s="194" t="s">
        <v>85</v>
      </c>
      <c r="F79" s="194" t="s">
        <v>914</v>
      </c>
      <c r="G79" s="195">
        <v>1</v>
      </c>
      <c r="H79" s="287" t="s">
        <v>1491</v>
      </c>
      <c r="I79" s="194" t="s">
        <v>1187</v>
      </c>
      <c r="J79" s="194" t="s">
        <v>1871</v>
      </c>
      <c r="K79" s="59">
        <v>135000</v>
      </c>
      <c r="L79" s="48">
        <f>IF(K79&gt;=Datos!$D$14,(Datos!$D$14*Datos!$C$14),IF(K79&lt;=Datos!$D$14,(K79*Datos!$C$14)))</f>
        <v>3874.5</v>
      </c>
      <c r="M79" s="48">
        <f>IF(K79&gt;=Datos!$D$15,(Datos!$D$15*Datos!$C$15),IF(K79&lt;=Datos!$D$15,(K79*Datos!$C$15)))</f>
        <v>4104</v>
      </c>
      <c r="N79" s="42"/>
      <c r="O79" s="42">
        <f t="shared" ref="O79:O98" si="73">+K79-(L79+M79+N79)</f>
        <v>127021.5</v>
      </c>
      <c r="P79" s="239">
        <f>IF(O79&lt;=Datos!$G$7,"0",IF(O79&lt;=Datos!$G$8,(O79-Datos!$F$8)*Datos!$I$6,IF(O79&lt;=Datos!$G$9,Datos!$I$8+(O79-Datos!$F$9)*Datos!$J$6,IF(O79&gt;=Datos!$F$10,(Datos!$I$8+Datos!$J$8)+(O79-Datos!$F$10)*Datos!$K$6))))</f>
        <v>20338.235666666667</v>
      </c>
      <c r="Q79" s="42">
        <f>IFERROR(VLOOKUP(C79,[1]Hoja1!$D$5:$E$58,2,FALSE),0)</f>
        <v>0</v>
      </c>
      <c r="R79" s="42">
        <v>25</v>
      </c>
      <c r="S79" s="42"/>
      <c r="T79" s="42">
        <f t="shared" si="4"/>
        <v>28341.735666666667</v>
      </c>
      <c r="U79" s="42">
        <f t="shared" si="5"/>
        <v>106658.26433333333</v>
      </c>
      <c r="V79" s="42"/>
      <c r="W79" s="197">
        <v>44866</v>
      </c>
      <c r="X79" s="197"/>
      <c r="Y79" s="82"/>
      <c r="Z79" s="63"/>
    </row>
    <row r="80" spans="1:26" ht="16.5" customHeight="1" x14ac:dyDescent="0.25">
      <c r="A80" s="318"/>
      <c r="B80" s="310">
        <v>74</v>
      </c>
      <c r="C80" s="195" t="s">
        <v>1795</v>
      </c>
      <c r="D80" s="194" t="s">
        <v>1796</v>
      </c>
      <c r="E80" s="194" t="s">
        <v>85</v>
      </c>
      <c r="F80" s="194" t="s">
        <v>914</v>
      </c>
      <c r="G80" s="195">
        <v>5</v>
      </c>
      <c r="H80" s="287" t="s">
        <v>1808</v>
      </c>
      <c r="I80" s="194" t="s">
        <v>1060</v>
      </c>
      <c r="J80" s="194" t="s">
        <v>960</v>
      </c>
      <c r="K80" s="59">
        <v>60000</v>
      </c>
      <c r="L80" s="48">
        <f>IF(K80&gt;=Datos!$D$14,(Datos!$D$14*Datos!$C$14),IF(K80&lt;=Datos!$D$14,(K80*Datos!$C$14)))</f>
        <v>1722</v>
      </c>
      <c r="M80" s="48">
        <f>IF(K80&gt;=Datos!$D$15,(Datos!$D$15*Datos!$C$15),IF(K80&lt;=Datos!$D$15,(K80*Datos!$C$15)))</f>
        <v>1824</v>
      </c>
      <c r="N80" s="42"/>
      <c r="O80" s="42">
        <f t="shared" si="73"/>
        <v>56454</v>
      </c>
      <c r="P80" s="239">
        <f>IF(O80&lt;=Datos!$G$7,"0",IF(O80&lt;=Datos!$G$8,(O80-Datos!$F$8)*Datos!$I$6,IF(O80&lt;=Datos!$G$9,Datos!$I$8+(O80-Datos!$F$9)*Datos!$J$6,IF(O80&gt;=Datos!$F$10,(Datos!$I$8+Datos!$J$8)+(O80-Datos!$F$10)*Datos!$K$6))))</f>
        <v>3486.6756666666661</v>
      </c>
      <c r="Q80" s="42">
        <f>IFERROR(VLOOKUP(C80,[1]Hoja1!$D$5:$E$58,2,FALSE),0)</f>
        <v>0</v>
      </c>
      <c r="R80" s="238">
        <v>25</v>
      </c>
      <c r="S80" s="42"/>
      <c r="T80" s="42">
        <f t="shared" si="4"/>
        <v>7057.6756666666661</v>
      </c>
      <c r="U80" s="42">
        <f t="shared" si="5"/>
        <v>52942.324333333338</v>
      </c>
      <c r="V80" s="321">
        <v>9607572580</v>
      </c>
      <c r="W80" s="197">
        <v>45597</v>
      </c>
      <c r="X80" s="197"/>
      <c r="Y80" s="82"/>
      <c r="Z80" s="63"/>
    </row>
    <row r="81" spans="1:26" ht="16.5" customHeight="1" x14ac:dyDescent="0.25">
      <c r="A81" s="318"/>
      <c r="B81" s="310">
        <v>75</v>
      </c>
      <c r="C81" s="195" t="s">
        <v>1912</v>
      </c>
      <c r="D81" s="194" t="s">
        <v>1913</v>
      </c>
      <c r="E81" s="194" t="s">
        <v>85</v>
      </c>
      <c r="F81" s="194" t="s">
        <v>914</v>
      </c>
      <c r="G81" s="195">
        <v>5</v>
      </c>
      <c r="H81" s="287" t="s">
        <v>1383</v>
      </c>
      <c r="I81" s="194" t="s">
        <v>1062</v>
      </c>
      <c r="J81" s="194" t="s">
        <v>1929</v>
      </c>
      <c r="K81" s="59">
        <v>60000</v>
      </c>
      <c r="L81" s="48">
        <f>IF(K81&gt;=Datos!$D$14,(Datos!$D$14*Datos!$C$14),IF(K81&lt;=Datos!$D$14,(K81*Datos!$C$14)))</f>
        <v>1722</v>
      </c>
      <c r="M81" s="48">
        <f>IF(K81&gt;=Datos!$D$15,(Datos!$D$15*Datos!$C$15),IF(K81&lt;=Datos!$D$15,(K81*Datos!$C$15)))</f>
        <v>1824</v>
      </c>
      <c r="N81" s="42"/>
      <c r="O81" s="42">
        <f t="shared" ref="O81" si="74">+K81-(L81+M81+N81)</f>
        <v>56454</v>
      </c>
      <c r="P81" s="239">
        <f>IF(O81&lt;=Datos!$G$7,"0",IF(O81&lt;=Datos!$G$8,(O81-Datos!$F$8)*Datos!$I$6,IF(O81&lt;=Datos!$G$9,Datos!$I$8+(O81-Datos!$F$9)*Datos!$J$6,IF(O81&gt;=Datos!$F$10,(Datos!$I$8+Datos!$J$8)+(O81-Datos!$F$10)*Datos!$K$6))))</f>
        <v>3486.6756666666661</v>
      </c>
      <c r="Q81" s="42">
        <f>IFERROR(VLOOKUP(C81,[1]Hoja1!$D$5:$E$58,2,FALSE),0)</f>
        <v>0</v>
      </c>
      <c r="R81" s="238">
        <v>25</v>
      </c>
      <c r="S81" s="42"/>
      <c r="T81" s="42">
        <f t="shared" ref="T81" si="75">SUM(P81:R81)+(L81+M81+N81)-S81</f>
        <v>7057.6756666666661</v>
      </c>
      <c r="U81" s="42">
        <f t="shared" ref="U81" si="76">+K81-T81</f>
        <v>52942.324333333338</v>
      </c>
      <c r="V81" s="321">
        <v>9607759021</v>
      </c>
      <c r="W81" s="197">
        <v>45627</v>
      </c>
      <c r="X81" s="197"/>
      <c r="Y81" s="82"/>
      <c r="Z81" s="63"/>
    </row>
    <row r="82" spans="1:26" ht="16.5" customHeight="1" x14ac:dyDescent="0.25">
      <c r="A82" s="318"/>
      <c r="B82" s="310">
        <v>76</v>
      </c>
      <c r="C82" s="195" t="s">
        <v>1914</v>
      </c>
      <c r="D82" s="194" t="s">
        <v>1915</v>
      </c>
      <c r="E82" s="194" t="s">
        <v>85</v>
      </c>
      <c r="F82" s="194" t="s">
        <v>914</v>
      </c>
      <c r="G82" s="195">
        <v>5</v>
      </c>
      <c r="H82" s="287" t="s">
        <v>1383</v>
      </c>
      <c r="I82" s="194" t="s">
        <v>1062</v>
      </c>
      <c r="J82" s="194" t="s">
        <v>1520</v>
      </c>
      <c r="K82" s="59">
        <v>35000</v>
      </c>
      <c r="L82" s="48">
        <f>IF(K82&gt;=Datos!$D$14,(Datos!$D$14*Datos!$C$14),IF(K82&lt;=Datos!$D$14,(K82*Datos!$C$14)))</f>
        <v>1004.5</v>
      </c>
      <c r="M82" s="48">
        <f>IF(K82&gt;=Datos!$D$15,(Datos!$D$15*Datos!$C$15),IF(K82&lt;=Datos!$D$15,(K82*Datos!$C$15)))</f>
        <v>1064</v>
      </c>
      <c r="N82" s="42"/>
      <c r="O82" s="42">
        <f t="shared" ref="O82" si="77">+K82-(L82+M82+N82)</f>
        <v>32931.5</v>
      </c>
      <c r="P82" s="239" t="str">
        <f>IF(O82&lt;=Datos!$G$7,"0",IF(O82&lt;=Datos!$G$8,(O82-Datos!$F$8)*Datos!$I$6,IF(O82&lt;=Datos!$G$9,Datos!$I$8+(O82-Datos!$F$9)*Datos!$J$6,IF(O82&gt;=Datos!$F$10,(Datos!$I$8+Datos!$J$8)+(O82-Datos!$F$10)*Datos!$K$6))))</f>
        <v>0</v>
      </c>
      <c r="Q82" s="42">
        <f>IFERROR(VLOOKUP(C82,[1]Hoja1!$D$5:$E$58,2,FALSE),0)</f>
        <v>0</v>
      </c>
      <c r="R82" s="238">
        <v>25</v>
      </c>
      <c r="S82" s="42"/>
      <c r="T82" s="42">
        <f t="shared" ref="T82" si="78">SUM(P82:R82)+(L82+M82+N82)-S82</f>
        <v>2093.5</v>
      </c>
      <c r="U82" s="42">
        <f t="shared" ref="U82" si="79">+K82-T82</f>
        <v>32906.5</v>
      </c>
      <c r="V82" s="321">
        <v>9607759062</v>
      </c>
      <c r="W82" s="197">
        <v>45627</v>
      </c>
      <c r="X82" s="197"/>
      <c r="Y82" s="82"/>
      <c r="Z82" s="63"/>
    </row>
    <row r="83" spans="1:26" ht="16.5" customHeight="1" x14ac:dyDescent="0.25">
      <c r="A83" s="318"/>
      <c r="B83" s="310">
        <v>77</v>
      </c>
      <c r="C83" s="195" t="s">
        <v>1218</v>
      </c>
      <c r="D83" s="194" t="s">
        <v>1219</v>
      </c>
      <c r="E83" s="194" t="s">
        <v>86</v>
      </c>
      <c r="F83" s="194" t="s">
        <v>914</v>
      </c>
      <c r="G83" s="195">
        <v>1</v>
      </c>
      <c r="H83" s="287" t="s">
        <v>1810</v>
      </c>
      <c r="I83" s="194" t="s">
        <v>1187</v>
      </c>
      <c r="J83" s="194" t="s">
        <v>1789</v>
      </c>
      <c r="K83" s="59">
        <v>120000</v>
      </c>
      <c r="L83" s="48">
        <f>IF(K83&gt;=Datos!$D$14,(Datos!$D$14*Datos!$C$14),IF(K83&lt;=Datos!$D$14,(K83*Datos!$C$14)))</f>
        <v>3444</v>
      </c>
      <c r="M83" s="48">
        <f>IF(K83&gt;=Datos!$D$15,(Datos!$D$15*Datos!$C$15),IF(K83&lt;=Datos!$D$15,(K83*Datos!$C$15)))</f>
        <v>3648</v>
      </c>
      <c r="N83" s="42"/>
      <c r="O83" s="42">
        <f t="shared" si="73"/>
        <v>112908</v>
      </c>
      <c r="P83" s="239">
        <f>IF(O83&lt;=Datos!$G$7,"0",IF(O83&lt;=Datos!$G$8,(O83-Datos!$F$8)*Datos!$I$6,IF(O83&lt;=Datos!$G$9,Datos!$I$8+(O83-Datos!$F$9)*Datos!$J$6,IF(O83&gt;=Datos!$F$10,(Datos!$I$8+Datos!$J$8)+(O83-Datos!$F$10)*Datos!$K$6))))</f>
        <v>16809.860666666667</v>
      </c>
      <c r="Q83" s="42">
        <f>IFERROR(VLOOKUP(C83,[1]Hoja1!$D$5:$E$58,2,FALSE),0)</f>
        <v>0</v>
      </c>
      <c r="R83" s="238">
        <v>25</v>
      </c>
      <c r="S83" s="42"/>
      <c r="T83" s="42">
        <f t="shared" si="4"/>
        <v>23926.860666666667</v>
      </c>
      <c r="U83" s="42">
        <f t="shared" si="5"/>
        <v>96073.139333333325</v>
      </c>
      <c r="V83" s="321"/>
      <c r="W83" s="197">
        <v>45597</v>
      </c>
      <c r="X83" s="197"/>
      <c r="Y83" s="82"/>
      <c r="Z83" s="63"/>
    </row>
    <row r="84" spans="1:26" ht="16.5" customHeight="1" x14ac:dyDescent="0.25">
      <c r="A84" s="318"/>
      <c r="B84" s="310">
        <v>78</v>
      </c>
      <c r="C84" s="195" t="s">
        <v>1874</v>
      </c>
      <c r="D84" s="194" t="s">
        <v>1875</v>
      </c>
      <c r="E84" s="194" t="s">
        <v>85</v>
      </c>
      <c r="F84" s="194" t="s">
        <v>914</v>
      </c>
      <c r="G84" s="195">
        <v>5</v>
      </c>
      <c r="H84" s="287" t="s">
        <v>1383</v>
      </c>
      <c r="I84" s="194" t="s">
        <v>1060</v>
      </c>
      <c r="J84" s="194" t="s">
        <v>1929</v>
      </c>
      <c r="K84" s="59">
        <v>60000</v>
      </c>
      <c r="L84" s="48">
        <f>IF(K84&gt;=Datos!$D$14,(Datos!$D$14*Datos!$C$14),IF(K84&lt;=Datos!$D$14,(K84*Datos!$C$14)))</f>
        <v>1722</v>
      </c>
      <c r="M84" s="48">
        <f>IF(K84&gt;=Datos!$D$15,(Datos!$D$15*Datos!$C$15),IF(K84&lt;=Datos!$D$15,(K84*Datos!$C$15)))</f>
        <v>1824</v>
      </c>
      <c r="N84" s="42"/>
      <c r="O84" s="42">
        <f t="shared" ref="O84" si="80">+K84-(L84+M84+N84)</f>
        <v>56454</v>
      </c>
      <c r="P84" s="239">
        <f>IF(O84&lt;=Datos!$G$7,"0",IF(O84&lt;=Datos!$G$8,(O84-Datos!$F$8)*Datos!$I$6,IF(O84&lt;=Datos!$G$9,Datos!$I$8+(O84-Datos!$F$9)*Datos!$J$6,IF(O84&gt;=Datos!$F$10,(Datos!$I$8+Datos!$J$8)+(O84-Datos!$F$10)*Datos!$K$6))))</f>
        <v>3486.6756666666661</v>
      </c>
      <c r="Q84" s="42">
        <f>IFERROR(VLOOKUP(C84,[1]Hoja1!$D$5:$E$58,2,FALSE),0)</f>
        <v>0</v>
      </c>
      <c r="R84" s="238">
        <v>25</v>
      </c>
      <c r="S84" s="42"/>
      <c r="T84" s="42">
        <f t="shared" ref="T84" si="81">SUM(P84:R84)+(L84+M84+N84)-S84</f>
        <v>7057.6756666666661</v>
      </c>
      <c r="U84" s="42">
        <f t="shared" ref="U84" si="82">+K84-T84</f>
        <v>52942.324333333338</v>
      </c>
      <c r="V84" s="321">
        <v>9607759027</v>
      </c>
      <c r="W84" s="197">
        <v>45627</v>
      </c>
      <c r="X84" s="197"/>
      <c r="Y84" s="82"/>
      <c r="Z84" s="63"/>
    </row>
    <row r="85" spans="1:26" ht="16.5" customHeight="1" x14ac:dyDescent="0.25">
      <c r="A85" s="318"/>
      <c r="B85" s="310">
        <v>79</v>
      </c>
      <c r="C85" s="195" t="s">
        <v>937</v>
      </c>
      <c r="D85" s="194" t="s">
        <v>1162</v>
      </c>
      <c r="E85" s="194" t="s">
        <v>85</v>
      </c>
      <c r="F85" s="194" t="s">
        <v>914</v>
      </c>
      <c r="G85" s="195">
        <v>1</v>
      </c>
      <c r="H85" s="287" t="s">
        <v>1276</v>
      </c>
      <c r="I85" s="194" t="s">
        <v>1187</v>
      </c>
      <c r="J85" s="194" t="s">
        <v>938</v>
      </c>
      <c r="K85" s="59">
        <v>120000</v>
      </c>
      <c r="L85" s="48">
        <f>IF(K85&gt;=Datos!$D$14,(Datos!$D$14*Datos!$C$14),IF(K85&lt;=Datos!$D$14,(K85*Datos!$C$14)))</f>
        <v>3444</v>
      </c>
      <c r="M85" s="48">
        <f>IF(K85&gt;=Datos!$D$15,(Datos!$D$15*Datos!$C$15),IF(K85&lt;=Datos!$D$15,(K85*Datos!$C$15)))</f>
        <v>3648</v>
      </c>
      <c r="N85" s="42"/>
      <c r="O85" s="42">
        <f t="shared" si="73"/>
        <v>112908</v>
      </c>
      <c r="P85" s="239">
        <f>IF(O85&lt;=Datos!$G$7,"0",IF(O85&lt;=Datos!$G$8,(O85-Datos!$F$8)*Datos!$I$6,IF(O85&lt;=Datos!$G$9,Datos!$I$8+(O85-Datos!$F$9)*Datos!$J$6,IF(O85&gt;=Datos!$F$10,(Datos!$I$8+Datos!$J$8)+(O85-Datos!$F$10)*Datos!$K$6))))</f>
        <v>16809.860666666667</v>
      </c>
      <c r="Q85" s="42">
        <f>IFERROR(VLOOKUP(C85,[1]Hoja1!$D$5:$E$58,2,FALSE),0)</f>
        <v>0</v>
      </c>
      <c r="R85" s="238">
        <v>25</v>
      </c>
      <c r="S85" s="42"/>
      <c r="T85" s="42">
        <f t="shared" si="4"/>
        <v>23926.860666666667</v>
      </c>
      <c r="U85" s="42">
        <f t="shared" si="5"/>
        <v>96073.139333333325</v>
      </c>
      <c r="V85" s="196"/>
      <c r="W85" s="197">
        <v>44652</v>
      </c>
      <c r="X85" s="197"/>
      <c r="Y85" s="82"/>
      <c r="Z85" s="63"/>
    </row>
    <row r="86" spans="1:26" ht="16.5" customHeight="1" x14ac:dyDescent="0.25">
      <c r="A86" s="318"/>
      <c r="B86" s="310">
        <v>80</v>
      </c>
      <c r="C86" s="195" t="s">
        <v>1669</v>
      </c>
      <c r="D86" s="194" t="s">
        <v>1670</v>
      </c>
      <c r="E86" s="194" t="s">
        <v>86</v>
      </c>
      <c r="F86" s="194" t="s">
        <v>914</v>
      </c>
      <c r="G86" s="195">
        <v>1</v>
      </c>
      <c r="H86" s="287" t="s">
        <v>1671</v>
      </c>
      <c r="I86" s="194" t="s">
        <v>1187</v>
      </c>
      <c r="J86" s="194" t="s">
        <v>1672</v>
      </c>
      <c r="K86" s="59">
        <v>90000</v>
      </c>
      <c r="L86" s="48">
        <f>IF(K86&gt;=Datos!$D$14,(Datos!$D$14*Datos!$C$14),IF(K86&lt;=Datos!$D$14,(K86*Datos!$C$14)))</f>
        <v>2583</v>
      </c>
      <c r="M86" s="48">
        <f>IF(K86&gt;=Datos!$D$15,(Datos!$D$15*Datos!$C$15),IF(K86&lt;=Datos!$D$15,(K86*Datos!$C$15)))</f>
        <v>2736</v>
      </c>
      <c r="N86" s="42"/>
      <c r="O86" s="42">
        <f t="shared" si="73"/>
        <v>84681</v>
      </c>
      <c r="P86" s="239">
        <f>IF(O86&lt;=Datos!$G$7,"0",IF(O86&lt;=Datos!$G$8,(O86-Datos!$F$8)*Datos!$I$6,IF(O86&lt;=Datos!$G$9,Datos!$I$8+(O86-Datos!$F$9)*Datos!$J$6,IF(O86&gt;=Datos!$F$10,(Datos!$I$8+Datos!$J$8)+(O86-Datos!$F$10)*Datos!$K$6))))</f>
        <v>9753.1106666666674</v>
      </c>
      <c r="Q86" s="42">
        <v>0</v>
      </c>
      <c r="R86" s="238">
        <v>25</v>
      </c>
      <c r="S86" s="42"/>
      <c r="T86" s="42">
        <f t="shared" si="4"/>
        <v>15097.110666666667</v>
      </c>
      <c r="U86" s="42">
        <f t="shared" si="5"/>
        <v>74902.889333333325</v>
      </c>
      <c r="V86" s="196">
        <v>9607405794</v>
      </c>
      <c r="W86" s="197">
        <v>45536</v>
      </c>
      <c r="X86" s="197"/>
      <c r="Y86" s="82"/>
      <c r="Z86" s="63"/>
    </row>
    <row r="87" spans="1:26" ht="16.5" customHeight="1" x14ac:dyDescent="0.25">
      <c r="A87" s="318"/>
      <c r="B87" s="310">
        <v>81</v>
      </c>
      <c r="C87" s="195" t="s">
        <v>989</v>
      </c>
      <c r="D87" s="194" t="s">
        <v>988</v>
      </c>
      <c r="E87" s="194" t="s">
        <v>86</v>
      </c>
      <c r="F87" s="194" t="s">
        <v>914</v>
      </c>
      <c r="G87" s="195">
        <v>1</v>
      </c>
      <c r="H87" s="287" t="s">
        <v>1685</v>
      </c>
      <c r="I87" s="194" t="s">
        <v>1061</v>
      </c>
      <c r="J87" s="194" t="s">
        <v>990</v>
      </c>
      <c r="K87" s="59">
        <v>45000</v>
      </c>
      <c r="L87" s="48">
        <f>IF(K87&gt;=Datos!$D$14,(Datos!$D$14*Datos!$C$14),IF(K87&lt;=Datos!$D$14,(K87*Datos!$C$14)))</f>
        <v>1291.5</v>
      </c>
      <c r="M87" s="48">
        <f>IF(K87&gt;=Datos!$D$15,(Datos!$D$15*Datos!$C$15),IF(K87&lt;=Datos!$D$15,(K87*Datos!$C$15)))</f>
        <v>1368</v>
      </c>
      <c r="N87" s="42"/>
      <c r="O87" s="42">
        <f t="shared" si="73"/>
        <v>42340.5</v>
      </c>
      <c r="P87" s="239">
        <f>IF(O87&lt;=Datos!$G$7,"0",IF(O87&lt;=Datos!$G$8,(O87-Datos!$F$8)*Datos!$I$6,IF(O87&lt;=Datos!$G$9,Datos!$I$8+(O87-Datos!$F$9)*Datos!$J$6,IF(O87&gt;=Datos!$F$10,(Datos!$I$8+Datos!$J$8)+(O87-Datos!$F$10)*Datos!$K$6))))</f>
        <v>1148.3234999999997</v>
      </c>
      <c r="Q87" s="42">
        <f>IFERROR(VLOOKUP(C87,[1]Hoja1!$D$5:$E$58,2,FALSE),0)</f>
        <v>0</v>
      </c>
      <c r="R87" s="238">
        <v>25</v>
      </c>
      <c r="S87" s="42"/>
      <c r="T87" s="42">
        <f t="shared" si="4"/>
        <v>3832.8234999999995</v>
      </c>
      <c r="U87" s="42">
        <f t="shared" si="5"/>
        <v>41167.176500000001</v>
      </c>
      <c r="V87" s="196"/>
      <c r="W87" s="197">
        <v>44743</v>
      </c>
      <c r="X87" s="197"/>
      <c r="Y87" s="82"/>
      <c r="Z87" s="63"/>
    </row>
    <row r="88" spans="1:26" ht="16.5" customHeight="1" x14ac:dyDescent="0.25">
      <c r="A88" s="318"/>
      <c r="B88" s="310">
        <v>82</v>
      </c>
      <c r="C88" s="195" t="s">
        <v>1500</v>
      </c>
      <c r="D88" s="194" t="s">
        <v>1501</v>
      </c>
      <c r="E88" s="194" t="s">
        <v>85</v>
      </c>
      <c r="F88" s="194" t="s">
        <v>914</v>
      </c>
      <c r="G88" s="195">
        <v>1</v>
      </c>
      <c r="H88" s="287" t="s">
        <v>1502</v>
      </c>
      <c r="I88" s="194" t="s">
        <v>1062</v>
      </c>
      <c r="J88" s="194" t="s">
        <v>1503</v>
      </c>
      <c r="K88" s="59">
        <v>50000</v>
      </c>
      <c r="L88" s="48">
        <f>IF(K88&gt;=Datos!$D$14,(Datos!$D$14*Datos!$C$14),IF(K88&lt;=Datos!$D$14,(K88*Datos!$C$14)))</f>
        <v>1435</v>
      </c>
      <c r="M88" s="48">
        <f>IF(K88&gt;=Datos!$D$15,(Datos!$D$15*Datos!$C$15),IF(K88&lt;=Datos!$D$15,(K88*Datos!$C$15)))</f>
        <v>1520</v>
      </c>
      <c r="N88" s="42">
        <v>1715.46</v>
      </c>
      <c r="O88" s="42">
        <f t="shared" si="73"/>
        <v>45329.54</v>
      </c>
      <c r="P88" s="239">
        <f>IF(O88&lt;=Datos!$G$7,"0",IF(O88&lt;=Datos!$G$8,(O88-Datos!$F$8)*Datos!$I$6,IF(O88&lt;=Datos!$G$9,Datos!$I$8+(O88-Datos!$F$9)*Datos!$J$6,IF(O88&gt;=Datos!$F$10,(Datos!$I$8+Datos!$J$8)+(O88-Datos!$F$10)*Datos!$K$6))))</f>
        <v>1596.6794999999997</v>
      </c>
      <c r="Q88" s="42">
        <f>IFERROR(VLOOKUP(C88,[1]Hoja1!$D$5:$E$58,2,FALSE),0)</f>
        <v>0</v>
      </c>
      <c r="R88" s="238">
        <v>25</v>
      </c>
      <c r="S88" s="42"/>
      <c r="T88" s="42">
        <f t="shared" si="4"/>
        <v>6292.1394999999993</v>
      </c>
      <c r="U88" s="42">
        <f t="shared" si="5"/>
        <v>43707.860500000003</v>
      </c>
      <c r="V88" s="196">
        <v>9606795760</v>
      </c>
      <c r="W88" s="197">
        <v>45352</v>
      </c>
      <c r="X88" s="197"/>
      <c r="Y88" s="82"/>
      <c r="Z88" s="63"/>
    </row>
    <row r="89" spans="1:26" ht="16.5" customHeight="1" x14ac:dyDescent="0.25">
      <c r="A89" s="318"/>
      <c r="B89" s="310">
        <v>83</v>
      </c>
      <c r="C89" s="195" t="s">
        <v>934</v>
      </c>
      <c r="D89" s="194" t="s">
        <v>935</v>
      </c>
      <c r="E89" s="194" t="s">
        <v>85</v>
      </c>
      <c r="F89" s="194" t="s">
        <v>914</v>
      </c>
      <c r="G89" s="195">
        <v>1</v>
      </c>
      <c r="H89" s="287" t="s">
        <v>1491</v>
      </c>
      <c r="I89" s="194" t="s">
        <v>1062</v>
      </c>
      <c r="J89" s="194" t="s">
        <v>936</v>
      </c>
      <c r="K89" s="59">
        <v>60000</v>
      </c>
      <c r="L89" s="59">
        <f>IF(K89&gt;=Datos!$D$14,(Datos!$D$14*Datos!$C$14),IF(K89&lt;=Datos!$D$14,(K89*Datos!$C$14)))</f>
        <v>1722</v>
      </c>
      <c r="M89" s="59">
        <f>IF(K89&gt;=Datos!$D$15,(Datos!$D$15*Datos!$C$15),IF(K89&lt;=Datos!$D$15,(K89*Datos!$C$15)))</f>
        <v>1824</v>
      </c>
      <c r="N89" s="42">
        <v>0</v>
      </c>
      <c r="O89" s="42">
        <f t="shared" si="73"/>
        <v>56454</v>
      </c>
      <c r="P89" s="239">
        <f>IF(O89&lt;=Datos!$G$7,"0",IF(O89&lt;=Datos!$G$8,(O89-Datos!$F$8)*Datos!$I$6,IF(O89&lt;=Datos!$G$9,Datos!$I$8+(O89-Datos!$F$9)*Datos!$J$6,IF(O89&gt;=Datos!$F$10,(Datos!$I$8+Datos!$J$8)+(O89-Datos!$F$10)*Datos!$K$6))))</f>
        <v>3486.6756666666661</v>
      </c>
      <c r="Q89" s="42">
        <f>IFERROR(VLOOKUP(C89,[1]Hoja1!$D$5:$E$58,2,FALSE),0)</f>
        <v>0</v>
      </c>
      <c r="R89" s="238">
        <v>25</v>
      </c>
      <c r="S89" s="42"/>
      <c r="T89" s="42">
        <f t="shared" si="4"/>
        <v>7057.6756666666661</v>
      </c>
      <c r="U89" s="42">
        <f t="shared" si="5"/>
        <v>52942.324333333338</v>
      </c>
      <c r="V89" s="196"/>
      <c r="W89" s="197">
        <v>44652</v>
      </c>
      <c r="X89" s="194"/>
    </row>
    <row r="90" spans="1:26" ht="16.5" customHeight="1" x14ac:dyDescent="0.25">
      <c r="A90" s="318"/>
      <c r="B90" s="310">
        <v>84</v>
      </c>
      <c r="C90" s="195" t="s">
        <v>1916</v>
      </c>
      <c r="D90" s="194" t="s">
        <v>1917</v>
      </c>
      <c r="E90" s="194" t="s">
        <v>85</v>
      </c>
      <c r="F90" s="194" t="s">
        <v>914</v>
      </c>
      <c r="G90" s="195">
        <v>5</v>
      </c>
      <c r="H90" s="287" t="s">
        <v>1383</v>
      </c>
      <c r="I90" s="194" t="s">
        <v>1062</v>
      </c>
      <c r="J90" s="194" t="s">
        <v>1929</v>
      </c>
      <c r="K90" s="59">
        <v>60000</v>
      </c>
      <c r="L90" s="59">
        <f>IF(K90&gt;=Datos!$D$14,(Datos!$D$14*Datos!$C$14),IF(K90&lt;=Datos!$D$14,(K90*Datos!$C$14)))</f>
        <v>1722</v>
      </c>
      <c r="M90" s="59">
        <f>IF(K90&gt;=Datos!$D$15,(Datos!$D$15*Datos!$C$15),IF(K90&lt;=Datos!$D$15,(K90*Datos!$C$15)))</f>
        <v>1824</v>
      </c>
      <c r="N90" s="42">
        <v>0</v>
      </c>
      <c r="O90" s="42">
        <f t="shared" ref="O90" si="83">+K90-(L90+M90+N90)</f>
        <v>56454</v>
      </c>
      <c r="P90" s="239">
        <f>IF(O90&lt;=Datos!$G$7,"0",IF(O90&lt;=Datos!$G$8,(O90-Datos!$F$8)*Datos!$I$6,IF(O90&lt;=Datos!$G$9,Datos!$I$8+(O90-Datos!$F$9)*Datos!$J$6,IF(O90&gt;=Datos!$F$10,(Datos!$I$8+Datos!$J$8)+(O90-Datos!$F$10)*Datos!$K$6))))</f>
        <v>3486.6756666666661</v>
      </c>
      <c r="Q90" s="42">
        <f>IFERROR(VLOOKUP(C90,[1]Hoja1!$D$5:$E$58,2,FALSE),0)</f>
        <v>0</v>
      </c>
      <c r="R90" s="238">
        <v>25</v>
      </c>
      <c r="S90" s="42"/>
      <c r="T90" s="42">
        <f t="shared" ref="T90" si="84">SUM(P90:R90)+(L90+M90+N90)-S90</f>
        <v>7057.6756666666661</v>
      </c>
      <c r="U90" s="42">
        <f t="shared" ref="U90" si="85">+K90-T90</f>
        <v>52942.324333333338</v>
      </c>
      <c r="V90" s="196">
        <v>9607759044</v>
      </c>
      <c r="W90" s="197">
        <v>45627</v>
      </c>
      <c r="X90" s="194"/>
    </row>
    <row r="91" spans="1:26" ht="16.5" customHeight="1" x14ac:dyDescent="0.25">
      <c r="A91" s="318"/>
      <c r="B91" s="310">
        <v>85</v>
      </c>
      <c r="C91" s="195" t="s">
        <v>1888</v>
      </c>
      <c r="D91" s="194" t="s">
        <v>1889</v>
      </c>
      <c r="E91" s="194" t="s">
        <v>85</v>
      </c>
      <c r="F91" s="194" t="s">
        <v>914</v>
      </c>
      <c r="G91" s="195">
        <v>5</v>
      </c>
      <c r="H91" s="287" t="s">
        <v>1383</v>
      </c>
      <c r="I91" s="194" t="s">
        <v>1062</v>
      </c>
      <c r="J91" s="194" t="s">
        <v>1520</v>
      </c>
      <c r="K91" s="59">
        <v>35000</v>
      </c>
      <c r="L91" s="59">
        <f>IF(K91&gt;=Datos!$D$14,(Datos!$D$14*Datos!$C$14),IF(K91&lt;=Datos!$D$14,(K91*Datos!$C$14)))</f>
        <v>1004.5</v>
      </c>
      <c r="M91" s="59">
        <f>IF(K91&gt;=Datos!$D$15,(Datos!$D$15*Datos!$C$15),IF(K91&lt;=Datos!$D$15,(K91*Datos!$C$15)))</f>
        <v>1064</v>
      </c>
      <c r="N91" s="42"/>
      <c r="O91" s="42">
        <f t="shared" ref="O91" si="86">+K91-(L91+M91+N91)</f>
        <v>32931.5</v>
      </c>
      <c r="P91" s="239" t="str">
        <f>IF(O91&lt;=Datos!$G$7,"0",IF(O91&lt;=Datos!$G$8,(O91-Datos!$F$8)*Datos!$I$6,IF(O91&lt;=Datos!$G$9,Datos!$I$8+(O91-Datos!$F$9)*Datos!$J$6,IF(O91&gt;=Datos!$F$10,(Datos!$I$8+Datos!$J$8)+(O91-Datos!$F$10)*Datos!$K$6))))</f>
        <v>0</v>
      </c>
      <c r="Q91" s="42">
        <v>0</v>
      </c>
      <c r="R91" s="238">
        <v>25</v>
      </c>
      <c r="S91" s="42"/>
      <c r="T91" s="42">
        <f t="shared" ref="T91" si="87">SUM(P91:R91)+(L91+M91+N91)-S91</f>
        <v>2093.5</v>
      </c>
      <c r="U91" s="42">
        <f t="shared" ref="U91" si="88">+K91-T91</f>
        <v>32906.5</v>
      </c>
      <c r="V91" s="196">
        <v>9607759040</v>
      </c>
      <c r="W91" s="197">
        <v>45627</v>
      </c>
      <c r="X91" s="194"/>
    </row>
    <row r="92" spans="1:26" ht="16.5" customHeight="1" x14ac:dyDescent="0.25">
      <c r="A92" s="318"/>
      <c r="B92" s="310">
        <v>86</v>
      </c>
      <c r="C92" s="195" t="s">
        <v>1677</v>
      </c>
      <c r="D92" s="194" t="s">
        <v>1678</v>
      </c>
      <c r="E92" s="194" t="s">
        <v>85</v>
      </c>
      <c r="F92" s="194" t="s">
        <v>914</v>
      </c>
      <c r="G92" s="195">
        <v>5</v>
      </c>
      <c r="H92" s="287" t="s">
        <v>1383</v>
      </c>
      <c r="I92" s="194" t="s">
        <v>1060</v>
      </c>
      <c r="J92" s="194" t="s">
        <v>1086</v>
      </c>
      <c r="K92" s="59">
        <v>60000</v>
      </c>
      <c r="L92" s="59">
        <f>IF(K92&gt;=Datos!$D$14,(Datos!$D$14*Datos!$C$14),IF(K92&lt;=Datos!$D$14,(K92*Datos!$C$14)))</f>
        <v>1722</v>
      </c>
      <c r="M92" s="59">
        <f>IF(K92&gt;=Datos!$D$15,(Datos!$D$15*Datos!$C$15),IF(K92&lt;=Datos!$D$15,(K92*Datos!$C$15)))</f>
        <v>1824</v>
      </c>
      <c r="N92" s="42"/>
      <c r="O92" s="42">
        <f t="shared" si="73"/>
        <v>56454</v>
      </c>
      <c r="P92" s="239">
        <f>IF(O92&lt;=Datos!$G$7,"0",IF(O92&lt;=Datos!$G$8,(O92-Datos!$F$8)*Datos!$I$6,IF(O92&lt;=Datos!$G$9,Datos!$I$8+(O92-Datos!$F$9)*Datos!$J$6,IF(O92&gt;=Datos!$F$10,(Datos!$I$8+Datos!$J$8)+(O92-Datos!$F$10)*Datos!$K$6))))</f>
        <v>3486.6756666666661</v>
      </c>
      <c r="Q92" s="42">
        <v>0</v>
      </c>
      <c r="R92" s="42">
        <v>25</v>
      </c>
      <c r="S92" s="42"/>
      <c r="T92" s="42">
        <f t="shared" si="4"/>
        <v>7057.6756666666661</v>
      </c>
      <c r="U92" s="42">
        <f t="shared" si="5"/>
        <v>52942.324333333338</v>
      </c>
      <c r="V92" s="196" t="s">
        <v>1724</v>
      </c>
      <c r="W92" s="197">
        <v>45536</v>
      </c>
      <c r="X92" s="194"/>
    </row>
    <row r="93" spans="1:26" ht="16.5" customHeight="1" x14ac:dyDescent="0.25">
      <c r="A93" s="318"/>
      <c r="B93" s="310">
        <v>87</v>
      </c>
      <c r="C93" s="195" t="s">
        <v>1346</v>
      </c>
      <c r="D93" s="194" t="s">
        <v>1347</v>
      </c>
      <c r="E93" s="194" t="s">
        <v>85</v>
      </c>
      <c r="F93" s="194" t="s">
        <v>914</v>
      </c>
      <c r="G93" s="195">
        <v>1</v>
      </c>
      <c r="H93" s="287" t="s">
        <v>1745</v>
      </c>
      <c r="I93" s="194" t="s">
        <v>1187</v>
      </c>
      <c r="J93" s="194" t="s">
        <v>1348</v>
      </c>
      <c r="K93" s="59">
        <v>50000</v>
      </c>
      <c r="L93" s="48">
        <f>IF(K93&gt;=Datos!$D$14,(Datos!$D$14*Datos!$C$14),IF(K93&lt;=Datos!$D$14,(K93*Datos!$C$14)))</f>
        <v>1435</v>
      </c>
      <c r="M93" s="48">
        <f>IF(K93&gt;=Datos!$D$15,(Datos!$D$15*Datos!$C$15),IF(K93&lt;=Datos!$D$15,(K93*Datos!$C$15)))</f>
        <v>1520</v>
      </c>
      <c r="N93" s="42"/>
      <c r="O93" s="42">
        <f t="shared" si="73"/>
        <v>47045</v>
      </c>
      <c r="P93" s="239">
        <f>IF(O93&lt;=Datos!$G$7,"0",IF(O93&lt;=Datos!$G$8,(O93-Datos!$F$8)*Datos!$I$6,IF(O93&lt;=Datos!$G$9,Datos!$I$8+(O93-Datos!$F$9)*Datos!$J$6,IF(O93&gt;=Datos!$F$10,(Datos!$I$8+Datos!$J$8)+(O93-Datos!$F$10)*Datos!$K$6))))</f>
        <v>1853.9984999999997</v>
      </c>
      <c r="Q93" s="42">
        <v>10636.47</v>
      </c>
      <c r="R93" s="42">
        <v>25</v>
      </c>
      <c r="S93" s="42"/>
      <c r="T93" s="42">
        <f t="shared" si="4"/>
        <v>15470.468499999999</v>
      </c>
      <c r="U93" s="42">
        <f t="shared" si="5"/>
        <v>34529.531499999997</v>
      </c>
      <c r="V93" s="196">
        <v>9606132709</v>
      </c>
      <c r="W93" s="197">
        <v>45170</v>
      </c>
      <c r="X93" s="194"/>
    </row>
    <row r="94" spans="1:26" ht="16.5" customHeight="1" x14ac:dyDescent="0.25">
      <c r="A94" s="318"/>
      <c r="B94" s="310">
        <v>88</v>
      </c>
      <c r="C94" s="195" t="s">
        <v>560</v>
      </c>
      <c r="D94" s="194" t="s">
        <v>799</v>
      </c>
      <c r="E94" s="194" t="s">
        <v>85</v>
      </c>
      <c r="F94" s="194" t="s">
        <v>914</v>
      </c>
      <c r="G94" s="195">
        <v>1</v>
      </c>
      <c r="H94" s="287" t="s">
        <v>1827</v>
      </c>
      <c r="I94" s="194" t="s">
        <v>1060</v>
      </c>
      <c r="J94" s="194" t="s">
        <v>968</v>
      </c>
      <c r="K94" s="59">
        <f>80000+10000</f>
        <v>90000</v>
      </c>
      <c r="L94" s="48">
        <f>IF(K94&gt;=Datos!$D$14,(Datos!$D$14*Datos!$C$14),IF(K94&lt;=Datos!$D$14,(K94*Datos!$C$14)))</f>
        <v>2583</v>
      </c>
      <c r="M94" s="48">
        <f>IF(K94&gt;=Datos!$D$15,(Datos!$D$15*Datos!$C$15),IF(K94&lt;=Datos!$D$15,(K94*Datos!$C$15)))</f>
        <v>2736</v>
      </c>
      <c r="N94" s="42"/>
      <c r="O94" s="42">
        <f t="shared" si="73"/>
        <v>84681</v>
      </c>
      <c r="P94" s="239">
        <f>IF(O94&lt;=Datos!$G$7,"0",IF(O94&lt;=Datos!$G$8,(O94-Datos!$F$8)*Datos!$I$6,IF(O94&lt;=Datos!$G$9,Datos!$I$8+(O94-Datos!$F$9)*Datos!$J$6,IF(O94&gt;=Datos!$F$10,(Datos!$I$8+Datos!$J$8)+(O94-Datos!$F$10)*Datos!$K$6))))</f>
        <v>9753.1106666666674</v>
      </c>
      <c r="Q94" s="42">
        <f>IFERROR(VLOOKUP(C94,[1]Hoja1!$D$5:$E$58,2,FALSE),0)</f>
        <v>0</v>
      </c>
      <c r="R94" s="42">
        <v>25</v>
      </c>
      <c r="S94" s="42"/>
      <c r="T94" s="42">
        <f t="shared" si="4"/>
        <v>15097.110666666667</v>
      </c>
      <c r="U94" s="42">
        <f t="shared" si="5"/>
        <v>74902.889333333325</v>
      </c>
      <c r="V94" s="196" t="s">
        <v>320</v>
      </c>
      <c r="W94" s="197">
        <v>44378</v>
      </c>
      <c r="X94" s="194"/>
    </row>
    <row r="95" spans="1:26" ht="16.5" customHeight="1" x14ac:dyDescent="0.25">
      <c r="A95" s="318"/>
      <c r="B95" s="310">
        <v>89</v>
      </c>
      <c r="C95" s="195" t="s">
        <v>1918</v>
      </c>
      <c r="D95" s="194" t="s">
        <v>1919</v>
      </c>
      <c r="E95" s="194" t="s">
        <v>85</v>
      </c>
      <c r="F95" s="194" t="s">
        <v>914</v>
      </c>
      <c r="G95" s="195">
        <v>5</v>
      </c>
      <c r="H95" s="287" t="s">
        <v>1383</v>
      </c>
      <c r="I95" s="194" t="s">
        <v>1062</v>
      </c>
      <c r="J95" s="194" t="s">
        <v>1520</v>
      </c>
      <c r="K95" s="59">
        <v>35000</v>
      </c>
      <c r="L95" s="48">
        <f>IF(K95&gt;=Datos!$D$14,(Datos!$D$14*Datos!$C$14),IF(K95&lt;=Datos!$D$14,(K95*Datos!$C$14)))</f>
        <v>1004.5</v>
      </c>
      <c r="M95" s="48">
        <f>IF(K95&gt;=Datos!$D$15,(Datos!$D$15*Datos!$C$15),IF(K95&lt;=Datos!$D$15,(K95*Datos!$C$15)))</f>
        <v>1064</v>
      </c>
      <c r="N95" s="42"/>
      <c r="O95" s="42">
        <f t="shared" ref="O95:O96" si="89">+K95-(L95+M95+N95)</f>
        <v>32931.5</v>
      </c>
      <c r="P95" s="239" t="str">
        <f>IF(O95&lt;=Datos!$G$7,"0",IF(O95&lt;=Datos!$G$8,(O95-Datos!$F$8)*Datos!$I$6,IF(O95&lt;=Datos!$G$9,Datos!$I$8+(O95-Datos!$F$9)*Datos!$J$6,IF(O95&gt;=Datos!$F$10,(Datos!$I$8+Datos!$J$8)+(O95-Datos!$F$10)*Datos!$K$6))))</f>
        <v>0</v>
      </c>
      <c r="Q95" s="42">
        <f>IFERROR(VLOOKUP(C95,[1]Hoja1!$D$5:$E$58,2,FALSE),0)</f>
        <v>0</v>
      </c>
      <c r="R95" s="42">
        <v>25</v>
      </c>
      <c r="S95" s="42"/>
      <c r="T95" s="42">
        <f t="shared" ref="T95:T96" si="90">SUM(P95:R95)+(L95+M95+N95)-S95</f>
        <v>2093.5</v>
      </c>
      <c r="U95" s="42">
        <f t="shared" ref="U95:U96" si="91">+K95-T95</f>
        <v>32906.5</v>
      </c>
      <c r="V95" s="196">
        <v>9607759029</v>
      </c>
      <c r="W95" s="197">
        <v>45627</v>
      </c>
      <c r="X95" s="194"/>
    </row>
    <row r="96" spans="1:26" ht="16.5" customHeight="1" x14ac:dyDescent="0.25">
      <c r="A96" s="318"/>
      <c r="B96" s="310">
        <v>90</v>
      </c>
      <c r="C96" s="195" t="s">
        <v>1920</v>
      </c>
      <c r="D96" s="194" t="s">
        <v>1921</v>
      </c>
      <c r="E96" s="194" t="s">
        <v>85</v>
      </c>
      <c r="F96" s="194" t="s">
        <v>914</v>
      </c>
      <c r="G96" s="195">
        <v>5</v>
      </c>
      <c r="H96" s="287" t="s">
        <v>1383</v>
      </c>
      <c r="I96" s="194" t="s">
        <v>1062</v>
      </c>
      <c r="J96" s="194" t="s">
        <v>1520</v>
      </c>
      <c r="K96" s="59">
        <v>35000</v>
      </c>
      <c r="L96" s="48">
        <f>IF(K96&gt;=Datos!$D$14,(Datos!$D$14*Datos!$C$14),IF(K96&lt;=Datos!$D$14,(K96*Datos!$C$14)))</f>
        <v>1004.5</v>
      </c>
      <c r="M96" s="48">
        <f>IF(K96&gt;=Datos!$D$15,(Datos!$D$15*Datos!$C$15),IF(K96&lt;=Datos!$D$15,(K96*Datos!$C$15)))</f>
        <v>1064</v>
      </c>
      <c r="N96" s="42"/>
      <c r="O96" s="42">
        <f t="shared" si="89"/>
        <v>32931.5</v>
      </c>
      <c r="P96" s="239" t="str">
        <f>IF(O96&lt;=Datos!$G$7,"0",IF(O96&lt;=Datos!$G$8,(O96-Datos!$F$8)*Datos!$I$6,IF(O96&lt;=Datos!$G$9,Datos!$I$8+(O96-Datos!$F$9)*Datos!$J$6,IF(O96&gt;=Datos!$F$10,(Datos!$I$8+Datos!$J$8)+(O96-Datos!$F$10)*Datos!$K$6))))</f>
        <v>0</v>
      </c>
      <c r="Q96" s="42">
        <f>IFERROR(VLOOKUP(C96,[1]Hoja1!$D$5:$E$58,2,FALSE),0)</f>
        <v>0</v>
      </c>
      <c r="R96" s="42">
        <v>25</v>
      </c>
      <c r="S96" s="42"/>
      <c r="T96" s="42">
        <f t="shared" si="90"/>
        <v>2093.5</v>
      </c>
      <c r="U96" s="42">
        <f t="shared" si="91"/>
        <v>32906.5</v>
      </c>
      <c r="V96" s="196">
        <v>9607759032</v>
      </c>
      <c r="W96" s="197">
        <v>45627</v>
      </c>
      <c r="X96" s="194"/>
    </row>
    <row r="97" spans="1:24" ht="16.5" customHeight="1" x14ac:dyDescent="0.25">
      <c r="A97" s="318"/>
      <c r="B97" s="310">
        <v>91</v>
      </c>
      <c r="C97" s="195" t="s">
        <v>1052</v>
      </c>
      <c r="D97" s="194" t="s">
        <v>1051</v>
      </c>
      <c r="E97" s="194" t="s">
        <v>85</v>
      </c>
      <c r="F97" s="194" t="s">
        <v>914</v>
      </c>
      <c r="G97" s="195">
        <v>1</v>
      </c>
      <c r="H97" s="287" t="s">
        <v>1745</v>
      </c>
      <c r="I97" s="194" t="s">
        <v>1187</v>
      </c>
      <c r="J97" s="194" t="s">
        <v>1350</v>
      </c>
      <c r="K97" s="59">
        <v>105000</v>
      </c>
      <c r="L97" s="48">
        <f>IF(K97&gt;=Datos!$D$14,(Datos!$D$14*Datos!$C$14),IF(K97&lt;=Datos!$D$14,(K97*Datos!$C$14)))</f>
        <v>3013.5</v>
      </c>
      <c r="M97" s="48">
        <f>IF(K97&gt;=Datos!$D$15,(Datos!$D$15*Datos!$C$15),IF(K97&lt;=Datos!$D$15,(K97*Datos!$C$15)))</f>
        <v>3192</v>
      </c>
      <c r="N97" s="42"/>
      <c r="O97" s="42">
        <f t="shared" si="73"/>
        <v>98794.5</v>
      </c>
      <c r="P97" s="239">
        <f>IF(O97&lt;=Datos!$G$7,"0",IF(O97&lt;=Datos!$G$8,(O97-Datos!$F$8)*Datos!$I$6,IF(O97&lt;=Datos!$G$9,Datos!$I$8+(O97-Datos!$F$9)*Datos!$J$6,IF(O97&gt;=Datos!$F$10,(Datos!$I$8+Datos!$J$8)+(O97-Datos!$F$10)*Datos!$K$6))))</f>
        <v>13281.485666666667</v>
      </c>
      <c r="Q97" s="42">
        <v>50000</v>
      </c>
      <c r="R97" s="42">
        <v>25</v>
      </c>
      <c r="S97" s="42"/>
      <c r="T97" s="42">
        <f t="shared" si="4"/>
        <v>69511.985666666675</v>
      </c>
      <c r="U97" s="42">
        <f t="shared" si="5"/>
        <v>35488.014333333325</v>
      </c>
      <c r="V97" s="196"/>
      <c r="W97" s="197">
        <v>44805</v>
      </c>
      <c r="X97" s="194"/>
    </row>
    <row r="98" spans="1:24" ht="16.5" customHeight="1" x14ac:dyDescent="0.25">
      <c r="A98" s="318"/>
      <c r="B98" s="310">
        <v>92</v>
      </c>
      <c r="C98" s="195" t="s">
        <v>893</v>
      </c>
      <c r="D98" s="194" t="s">
        <v>1163</v>
      </c>
      <c r="E98" s="194" t="s">
        <v>85</v>
      </c>
      <c r="F98" s="194" t="s">
        <v>914</v>
      </c>
      <c r="G98" s="195">
        <v>1</v>
      </c>
      <c r="H98" s="287" t="s">
        <v>1834</v>
      </c>
      <c r="I98" s="194" t="s">
        <v>1187</v>
      </c>
      <c r="J98" s="194" t="s">
        <v>1510</v>
      </c>
      <c r="K98" s="59">
        <v>105000</v>
      </c>
      <c r="L98" s="48">
        <f>IF(K98&gt;=Datos!$D$14,(Datos!$D$14*Datos!$C$14),IF(K98&lt;=Datos!$D$14,(K98*Datos!$C$14)))</f>
        <v>3013.5</v>
      </c>
      <c r="M98" s="48">
        <f>IF(K98&gt;=Datos!$D$15,(Datos!$D$15*Datos!$C$15),IF(K98&lt;=Datos!$D$15,(K98*Datos!$C$15)))</f>
        <v>3192</v>
      </c>
      <c r="N98" s="42"/>
      <c r="O98" s="42">
        <f t="shared" si="73"/>
        <v>98794.5</v>
      </c>
      <c r="P98" s="239">
        <f>IF(O98&lt;=Datos!$G$7,"0",IF(O98&lt;=Datos!$G$8,(O98-Datos!$F$8)*Datos!$I$6,IF(O98&lt;=Datos!$G$9,Datos!$I$8+(O98-Datos!$F$9)*Datos!$J$6,IF(O98&gt;=Datos!$F$10,(Datos!$I$8+Datos!$J$8)+(O98-Datos!$F$10)*Datos!$K$6))))</f>
        <v>13281.485666666667</v>
      </c>
      <c r="Q98" s="42">
        <f>IFERROR(VLOOKUP(C98,[1]Hoja1!$D$5:$E$58,2,FALSE),0)</f>
        <v>0</v>
      </c>
      <c r="R98" s="42">
        <v>25</v>
      </c>
      <c r="S98" s="42"/>
      <c r="T98" s="42">
        <f t="shared" si="4"/>
        <v>19511.985666666667</v>
      </c>
      <c r="U98" s="42">
        <f t="shared" si="5"/>
        <v>85488.014333333325</v>
      </c>
      <c r="V98" s="196" t="s">
        <v>1164</v>
      </c>
      <c r="W98" s="197">
        <v>44593</v>
      </c>
      <c r="X98" s="194"/>
    </row>
    <row r="99" spans="1:24" x14ac:dyDescent="0.25">
      <c r="K99" s="219"/>
      <c r="L99" s="52"/>
      <c r="M99" s="52"/>
      <c r="N99" s="51"/>
      <c r="O99" s="51"/>
      <c r="P99" s="165"/>
      <c r="Q99" s="51"/>
      <c r="R99" s="51"/>
      <c r="S99" s="51"/>
      <c r="T99" s="51"/>
      <c r="U99" s="51"/>
      <c r="V99" s="289"/>
      <c r="W99" s="290"/>
    </row>
    <row r="100" spans="1:24" ht="16.5" thickBot="1" x14ac:dyDescent="0.3">
      <c r="D100" s="50"/>
      <c r="E100" s="50"/>
      <c r="F100" s="50"/>
      <c r="G100" s="102"/>
      <c r="H100" s="102"/>
      <c r="I100" s="50"/>
      <c r="J100" s="50"/>
      <c r="K100" s="106"/>
      <c r="L100" s="52"/>
      <c r="M100" s="53"/>
      <c r="N100" s="54"/>
      <c r="O100" s="54"/>
      <c r="P100" s="55"/>
      <c r="Q100" s="54"/>
      <c r="R100" s="54"/>
      <c r="S100" s="54"/>
      <c r="T100" s="54"/>
      <c r="U100" s="51"/>
    </row>
    <row r="101" spans="1:24" ht="16.5" thickBot="1" x14ac:dyDescent="0.3">
      <c r="B101" s="409" t="s">
        <v>41</v>
      </c>
      <c r="C101" s="410"/>
      <c r="D101" s="410"/>
      <c r="E101" s="411"/>
      <c r="F101" s="374"/>
      <c r="G101" s="374"/>
      <c r="H101" s="374"/>
      <c r="I101" s="374"/>
      <c r="J101" s="374"/>
      <c r="K101" s="375">
        <f t="shared" ref="K101:U101" si="92">SUM(K7:K100)</f>
        <v>6484666.666666667</v>
      </c>
      <c r="L101" s="375">
        <f t="shared" si="92"/>
        <v>186109.93333333335</v>
      </c>
      <c r="M101" s="375">
        <f t="shared" si="92"/>
        <v>197133.86666666667</v>
      </c>
      <c r="N101" s="375">
        <f t="shared" si="92"/>
        <v>17154.599999999995</v>
      </c>
      <c r="O101" s="375">
        <f t="shared" si="92"/>
        <v>6084268.2666666675</v>
      </c>
      <c r="P101" s="375">
        <f t="shared" si="92"/>
        <v>570338.07983333291</v>
      </c>
      <c r="Q101" s="375">
        <f t="shared" si="92"/>
        <v>107529.36</v>
      </c>
      <c r="R101" s="375">
        <f t="shared" si="92"/>
        <v>2300</v>
      </c>
      <c r="S101" s="375">
        <f t="shared" si="92"/>
        <v>0</v>
      </c>
      <c r="T101" s="375">
        <f t="shared" si="92"/>
        <v>1080565.8398333336</v>
      </c>
      <c r="U101" s="375">
        <f t="shared" si="92"/>
        <v>5404100.826833331</v>
      </c>
    </row>
    <row r="102" spans="1:24" x14ac:dyDescent="0.25">
      <c r="K102" s="63"/>
      <c r="N102" s="63"/>
      <c r="P102" s="63"/>
    </row>
    <row r="103" spans="1:24" ht="16.5" thickBot="1" x14ac:dyDescent="0.3">
      <c r="K103" s="61"/>
      <c r="L103" s="61"/>
      <c r="M103" s="61"/>
      <c r="N103" s="63"/>
      <c r="P103" s="61"/>
    </row>
    <row r="104" spans="1:24" ht="16.5" thickBot="1" x14ac:dyDescent="0.3">
      <c r="B104" s="400" t="s">
        <v>869</v>
      </c>
      <c r="C104" s="401"/>
      <c r="D104" s="401"/>
      <c r="E104" s="402"/>
      <c r="F104" s="94"/>
      <c r="G104" s="94"/>
      <c r="H104" s="94"/>
      <c r="I104" s="94"/>
      <c r="J104" s="94"/>
      <c r="K104" s="78">
        <v>2662100</v>
      </c>
      <c r="L104" s="78">
        <v>76402.27</v>
      </c>
      <c r="M104" s="78">
        <v>80927.839999999997</v>
      </c>
      <c r="N104" s="78">
        <v>4762.1400000000003</v>
      </c>
      <c r="O104" s="78"/>
      <c r="P104" s="78">
        <v>253336.66</v>
      </c>
      <c r="Q104" s="78">
        <v>20000</v>
      </c>
      <c r="R104" s="78">
        <v>875</v>
      </c>
      <c r="S104" s="78">
        <v>0</v>
      </c>
      <c r="T104" s="78">
        <v>436303.91</v>
      </c>
      <c r="U104" s="78">
        <v>2225796.09</v>
      </c>
    </row>
    <row r="105" spans="1:24" x14ac:dyDescent="0.25">
      <c r="K105" s="63">
        <f>+K101-K104</f>
        <v>3822566.666666667</v>
      </c>
      <c r="L105" s="63">
        <f t="shared" ref="L105:U105" si="93">+L101-L104</f>
        <v>109707.66333333334</v>
      </c>
      <c r="M105" s="63">
        <f t="shared" si="93"/>
        <v>116206.02666666667</v>
      </c>
      <c r="N105" s="63">
        <f t="shared" si="93"/>
        <v>12392.459999999995</v>
      </c>
      <c r="P105" s="63">
        <f>+P101-P104</f>
        <v>317001.41983333288</v>
      </c>
      <c r="Q105" s="63">
        <f t="shared" si="93"/>
        <v>87529.36</v>
      </c>
      <c r="R105" s="63">
        <f t="shared" si="93"/>
        <v>1425</v>
      </c>
      <c r="S105" s="63">
        <f t="shared" si="93"/>
        <v>0</v>
      </c>
      <c r="T105" s="63">
        <f t="shared" si="93"/>
        <v>644261.92983333371</v>
      </c>
      <c r="U105" s="63">
        <f t="shared" si="93"/>
        <v>3178304.7368333312</v>
      </c>
    </row>
    <row r="106" spans="1:24" x14ac:dyDescent="0.25">
      <c r="K106" s="61"/>
      <c r="L106" s="61"/>
      <c r="M106" s="61"/>
      <c r="P106" s="61"/>
    </row>
    <row r="107" spans="1:24" x14ac:dyDescent="0.25">
      <c r="K107" s="62"/>
      <c r="N107" s="63"/>
      <c r="P107" s="62"/>
    </row>
    <row r="108" spans="1:24" x14ac:dyDescent="0.25">
      <c r="K108" s="62"/>
    </row>
    <row r="109" spans="1:24" x14ac:dyDescent="0.25">
      <c r="K109" s="62"/>
      <c r="N109" s="63"/>
    </row>
    <row r="110" spans="1:24" x14ac:dyDescent="0.25">
      <c r="K110" s="62"/>
    </row>
    <row r="111" spans="1:24" x14ac:dyDescent="0.25">
      <c r="C111" s="109"/>
      <c r="K111" s="63"/>
    </row>
    <row r="112" spans="1:24" x14ac:dyDescent="0.25">
      <c r="B112" s="109"/>
      <c r="C112" s="109"/>
    </row>
    <row r="113" spans="2:3" x14ac:dyDescent="0.25">
      <c r="B113" s="109"/>
      <c r="C113" s="109"/>
    </row>
    <row r="114" spans="2:3" x14ac:dyDescent="0.25">
      <c r="B114" s="109"/>
      <c r="C114" s="109"/>
    </row>
    <row r="115" spans="2:3" x14ac:dyDescent="0.25">
      <c r="C115" s="109"/>
    </row>
    <row r="116" spans="2:3" x14ac:dyDescent="0.25">
      <c r="C116" s="110"/>
    </row>
    <row r="117" spans="2:3" x14ac:dyDescent="0.25">
      <c r="C117" s="110"/>
    </row>
    <row r="118" spans="2:3" x14ac:dyDescent="0.25">
      <c r="C118" s="110"/>
    </row>
  </sheetData>
  <autoFilter ref="D3:D118" xr:uid="{00000000-0009-0000-0000-000005000000}"/>
  <sortState xmlns:xlrd2="http://schemas.microsoft.com/office/spreadsheetml/2017/richdata2" ref="B8:X93">
    <sortCondition ref="D8:D71"/>
  </sortState>
  <mergeCells count="4">
    <mergeCell ref="B3:U3"/>
    <mergeCell ref="B4:U4"/>
    <mergeCell ref="B101:E101"/>
    <mergeCell ref="B104:E104"/>
  </mergeCells>
  <pageMargins left="0.70866141732283505" right="0.70866141732283505" top="0.74803149606299202" bottom="0.74803149606299202" header="0.31496062992126" footer="0.31496062992126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M50"/>
  <sheetViews>
    <sheetView showGridLines="0" topLeftCell="H24" zoomScale="84" zoomScaleNormal="84" zoomScaleSheetLayoutView="100" workbookViewId="0">
      <selection activeCell="H47" sqref="H47"/>
    </sheetView>
  </sheetViews>
  <sheetFormatPr baseColWidth="10" defaultColWidth="11.42578125" defaultRowHeight="15" x14ac:dyDescent="0.25"/>
  <cols>
    <col min="1" max="1" width="6.140625" style="123" customWidth="1"/>
    <col min="2" max="2" width="16.42578125" style="124" customWidth="1"/>
    <col min="3" max="3" width="29.28515625" style="125" customWidth="1"/>
    <col min="4" max="4" width="13.28515625" style="125" bestFit="1" customWidth="1"/>
    <col min="5" max="5" width="20.42578125" style="125" customWidth="1"/>
    <col min="6" max="6" width="29.28515625" style="125" customWidth="1"/>
    <col min="7" max="9" width="22" style="130" customWidth="1"/>
    <col min="10" max="10" width="23.140625" style="125" customWidth="1"/>
    <col min="11" max="11" width="14.7109375" style="116" customWidth="1"/>
    <col min="12" max="12" width="12.7109375" style="116" customWidth="1"/>
    <col min="13" max="13" width="12.28515625" style="116" bestFit="1" customWidth="1"/>
    <col min="14" max="16384" width="11.42578125" style="116"/>
  </cols>
  <sheetData>
    <row r="6" spans="1:13" x14ac:dyDescent="0.25">
      <c r="A6" s="112" t="s">
        <v>1952</v>
      </c>
      <c r="B6" s="113"/>
      <c r="C6" s="114"/>
      <c r="D6" s="114"/>
      <c r="E6" s="114"/>
      <c r="F6" s="114"/>
      <c r="G6" s="114"/>
      <c r="H6" s="115"/>
      <c r="I6" s="115"/>
      <c r="J6" s="115"/>
      <c r="K6" s="114"/>
      <c r="L6" s="115"/>
    </row>
    <row r="7" spans="1:13" x14ac:dyDescent="0.25">
      <c r="A7" s="116" t="s">
        <v>1188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13" s="118" customFormat="1" ht="37.5" customHeight="1" x14ac:dyDescent="0.25">
      <c r="A8" s="97" t="s">
        <v>1166</v>
      </c>
      <c r="B8" s="97" t="s">
        <v>1167</v>
      </c>
      <c r="C8" s="97" t="s">
        <v>1168</v>
      </c>
      <c r="D8" s="97" t="s">
        <v>1169</v>
      </c>
      <c r="E8" s="97" t="s">
        <v>1197</v>
      </c>
      <c r="F8" s="97" t="s">
        <v>1170</v>
      </c>
      <c r="G8" s="97" t="s">
        <v>1171</v>
      </c>
      <c r="H8" s="117" t="s">
        <v>1172</v>
      </c>
      <c r="I8" s="117" t="s">
        <v>1173</v>
      </c>
      <c r="J8" s="117" t="s">
        <v>1240</v>
      </c>
      <c r="K8" s="97" t="s">
        <v>1174</v>
      </c>
      <c r="L8" s="97" t="s">
        <v>1175</v>
      </c>
      <c r="M8" s="227" t="s">
        <v>1455</v>
      </c>
    </row>
    <row r="9" spans="1:13" s="123" customFormat="1" x14ac:dyDescent="0.25">
      <c r="A9" s="119"/>
      <c r="B9" s="121"/>
      <c r="C9" s="121"/>
      <c r="D9" s="121"/>
      <c r="E9" s="121"/>
      <c r="F9" s="121"/>
      <c r="G9" s="121"/>
      <c r="H9" s="218"/>
      <c r="I9" s="218"/>
      <c r="J9" s="218"/>
      <c r="K9" s="224"/>
      <c r="L9" s="224"/>
      <c r="M9" s="258"/>
    </row>
    <row r="10" spans="1:13" x14ac:dyDescent="0.25">
      <c r="G10" s="125"/>
      <c r="H10" s="126">
        <f>SUM(H9:H9)</f>
        <v>0</v>
      </c>
      <c r="I10" s="126">
        <f>SUM(I9:I9)</f>
        <v>0</v>
      </c>
      <c r="J10" s="126">
        <f>SUM(J9:J9)</f>
        <v>0</v>
      </c>
      <c r="K10" s="125"/>
    </row>
    <row r="11" spans="1:13" x14ac:dyDescent="0.25">
      <c r="G11" s="125"/>
      <c r="J11" s="130"/>
      <c r="K11" s="125"/>
    </row>
    <row r="13" spans="1:13" x14ac:dyDescent="0.25">
      <c r="G13" s="126"/>
      <c r="H13" s="126"/>
      <c r="I13" s="126"/>
    </row>
    <row r="14" spans="1:13" x14ac:dyDescent="0.25">
      <c r="A14" s="112" t="s">
        <v>1953</v>
      </c>
      <c r="B14" s="113"/>
      <c r="C14" s="114"/>
      <c r="D14" s="114"/>
      <c r="E14" s="114"/>
      <c r="F14" s="114"/>
      <c r="G14" s="115"/>
      <c r="H14" s="115"/>
      <c r="I14" s="115"/>
      <c r="J14" s="114"/>
      <c r="K14" s="115"/>
    </row>
    <row r="15" spans="1:13" x14ac:dyDescent="0.25">
      <c r="A15" s="116" t="s">
        <v>1188</v>
      </c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3" s="118" customFormat="1" ht="45" x14ac:dyDescent="0.25">
      <c r="A16" s="97" t="s">
        <v>1166</v>
      </c>
      <c r="B16" s="97" t="s">
        <v>1167</v>
      </c>
      <c r="C16" s="97" t="s">
        <v>1168</v>
      </c>
      <c r="D16" s="97" t="s">
        <v>1169</v>
      </c>
      <c r="E16" s="97" t="s">
        <v>1197</v>
      </c>
      <c r="F16" s="97" t="s">
        <v>1170</v>
      </c>
      <c r="G16" s="97" t="s">
        <v>1171</v>
      </c>
      <c r="H16" s="117" t="s">
        <v>1470</v>
      </c>
      <c r="I16" s="117" t="s">
        <v>1185</v>
      </c>
      <c r="J16" s="117" t="s">
        <v>1186</v>
      </c>
      <c r="K16" s="97" t="s">
        <v>1174</v>
      </c>
      <c r="L16" s="240" t="s">
        <v>1175</v>
      </c>
    </row>
    <row r="17" spans="1:13" x14ac:dyDescent="0.25">
      <c r="A17" s="168"/>
      <c r="B17" s="108"/>
      <c r="C17" s="120"/>
      <c r="D17" s="121"/>
      <c r="E17" s="170"/>
      <c r="F17" s="170"/>
      <c r="G17" s="170"/>
      <c r="H17" s="171"/>
      <c r="I17" s="171"/>
      <c r="J17" s="221"/>
      <c r="K17" s="266"/>
      <c r="L17" s="220"/>
      <c r="M17" s="222"/>
    </row>
    <row r="18" spans="1:13" x14ac:dyDescent="0.25">
      <c r="A18" s="127"/>
      <c r="D18" s="128"/>
      <c r="E18" s="128"/>
      <c r="G18" s="151"/>
      <c r="H18" s="151">
        <f>SUM(H17:H17)</f>
        <v>0</v>
      </c>
      <c r="I18" s="151">
        <f>SUM(I17:I17)</f>
        <v>0</v>
      </c>
      <c r="J18" s="151">
        <f>SUM(J17:J17)</f>
        <v>0</v>
      </c>
      <c r="K18" s="157"/>
    </row>
    <row r="19" spans="1:13" x14ac:dyDescent="0.25">
      <c r="A19" s="127"/>
      <c r="D19" s="128"/>
      <c r="E19" s="128"/>
      <c r="G19" s="151"/>
      <c r="H19" s="151"/>
      <c r="I19" s="151"/>
      <c r="J19" s="128"/>
      <c r="K19" s="157"/>
    </row>
    <row r="20" spans="1:13" x14ac:dyDescent="0.25">
      <c r="A20" s="127"/>
      <c r="D20" s="128"/>
      <c r="E20" s="128"/>
      <c r="G20" s="151"/>
      <c r="H20" s="151"/>
      <c r="I20" s="151"/>
      <c r="J20" s="128"/>
      <c r="K20" s="157"/>
    </row>
    <row r="21" spans="1:13" x14ac:dyDescent="0.25">
      <c r="A21" s="127"/>
      <c r="D21" s="128"/>
      <c r="E21" s="128"/>
      <c r="G21" s="151"/>
      <c r="H21" s="151"/>
      <c r="I21" s="151"/>
      <c r="J21" s="128"/>
      <c r="K21" s="157"/>
    </row>
    <row r="22" spans="1:13" x14ac:dyDescent="0.25">
      <c r="A22" s="112" t="s">
        <v>1958</v>
      </c>
      <c r="B22" s="113"/>
      <c r="C22" s="114"/>
      <c r="D22" s="114"/>
      <c r="E22" s="114"/>
      <c r="F22" s="114"/>
      <c r="G22" s="115"/>
      <c r="H22" s="115"/>
      <c r="I22" s="115"/>
      <c r="J22" s="114"/>
    </row>
    <row r="23" spans="1:13" x14ac:dyDescent="0.25">
      <c r="A23" s="116" t="s">
        <v>1188</v>
      </c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3" ht="30" x14ac:dyDescent="0.25">
      <c r="A24" s="97" t="s">
        <v>1166</v>
      </c>
      <c r="B24" s="97" t="s">
        <v>1167</v>
      </c>
      <c r="C24" s="97" t="s">
        <v>1168</v>
      </c>
      <c r="D24" s="97" t="s">
        <v>1169</v>
      </c>
      <c r="E24" s="97" t="s">
        <v>1197</v>
      </c>
      <c r="F24" s="97" t="s">
        <v>1170</v>
      </c>
      <c r="G24" s="97" t="s">
        <v>1171</v>
      </c>
      <c r="H24" s="117" t="s">
        <v>1174</v>
      </c>
      <c r="I24" s="228" t="s">
        <v>1275</v>
      </c>
      <c r="J24" s="226" t="s">
        <v>1240</v>
      </c>
      <c r="K24" s="227" t="s">
        <v>1455</v>
      </c>
    </row>
    <row r="25" spans="1:13" ht="45" x14ac:dyDescent="0.25">
      <c r="A25" s="168">
        <v>1</v>
      </c>
      <c r="B25" s="169" t="s">
        <v>1555</v>
      </c>
      <c r="C25" s="120" t="s">
        <v>1551</v>
      </c>
      <c r="D25" s="220" t="s">
        <v>914</v>
      </c>
      <c r="E25" s="121">
        <v>1</v>
      </c>
      <c r="F25" s="170" t="s">
        <v>858</v>
      </c>
      <c r="G25" s="170" t="s">
        <v>44</v>
      </c>
      <c r="H25" s="121" t="s">
        <v>1969</v>
      </c>
      <c r="I25" s="221">
        <v>65000</v>
      </c>
      <c r="J25" s="221">
        <v>30333.333333333299</v>
      </c>
      <c r="K25" s="258">
        <v>45673</v>
      </c>
      <c r="L25" s="222"/>
    </row>
    <row r="26" spans="1:13" x14ac:dyDescent="0.25">
      <c r="A26" s="175"/>
      <c r="B26" s="176"/>
      <c r="C26" s="178"/>
      <c r="D26" s="261"/>
      <c r="E26" s="177"/>
      <c r="F26" s="177"/>
      <c r="G26" s="178"/>
      <c r="H26" s="257"/>
      <c r="I26" s="130">
        <f>SUM(I25:I25)</f>
        <v>65000</v>
      </c>
      <c r="J26" s="130">
        <f>SUM(J25:J25)</f>
        <v>30333.333333333299</v>
      </c>
      <c r="L26" s="222"/>
    </row>
    <row r="27" spans="1:13" ht="60.75" customHeight="1" x14ac:dyDescent="0.25">
      <c r="A27" s="127"/>
      <c r="B27" s="193"/>
      <c r="C27" s="412"/>
      <c r="D27" s="412"/>
      <c r="E27" s="193"/>
      <c r="F27" s="193"/>
      <c r="G27" s="230"/>
      <c r="H27" s="193"/>
      <c r="I27" s="116"/>
      <c r="J27" s="116"/>
      <c r="K27" s="157"/>
    </row>
    <row r="28" spans="1:13" x14ac:dyDescent="0.25">
      <c r="A28" s="127"/>
      <c r="B28" s="123"/>
      <c r="C28" s="405" t="s">
        <v>1486</v>
      </c>
      <c r="D28" s="405"/>
      <c r="E28" s="215"/>
      <c r="F28" s="215"/>
      <c r="G28" s="215"/>
      <c r="H28" s="215"/>
      <c r="I28" s="413" t="s">
        <v>1227</v>
      </c>
      <c r="J28" s="413"/>
      <c r="K28" s="157"/>
      <c r="L28" s="365"/>
    </row>
    <row r="29" spans="1:13" ht="16.5" customHeight="1" x14ac:dyDescent="0.25">
      <c r="A29" s="127"/>
      <c r="B29" s="123"/>
      <c r="C29" s="406" t="s">
        <v>1487</v>
      </c>
      <c r="D29" s="406"/>
      <c r="E29" s="215"/>
      <c r="F29" s="215"/>
      <c r="G29" s="215"/>
      <c r="H29" s="215"/>
      <c r="I29" s="414" t="s">
        <v>1225</v>
      </c>
      <c r="J29" s="414"/>
      <c r="K29" s="157"/>
    </row>
    <row r="30" spans="1:13" ht="11.25" customHeight="1" x14ac:dyDescent="0.25">
      <c r="A30" s="127"/>
      <c r="B30" s="123"/>
      <c r="C30" s="123"/>
      <c r="D30" s="123"/>
      <c r="E30" s="123"/>
      <c r="F30" s="123"/>
      <c r="G30" s="123"/>
      <c r="H30" s="123"/>
      <c r="I30" s="123"/>
      <c r="J30" s="123"/>
      <c r="K30" s="157"/>
    </row>
    <row r="31" spans="1:13" ht="11.25" customHeight="1" x14ac:dyDescent="0.25">
      <c r="A31" s="127"/>
      <c r="B31" s="123"/>
      <c r="C31" s="123"/>
      <c r="D31" s="123"/>
      <c r="E31" s="123"/>
      <c r="F31" s="123"/>
      <c r="G31" s="123"/>
      <c r="H31" s="123"/>
      <c r="I31" s="123"/>
      <c r="J31" s="123"/>
      <c r="K31" s="157"/>
    </row>
    <row r="32" spans="1:13" x14ac:dyDescent="0.25">
      <c r="G32" s="126"/>
      <c r="H32" s="126"/>
      <c r="I32" s="126"/>
    </row>
    <row r="33" spans="1:13" x14ac:dyDescent="0.25">
      <c r="G33" s="126"/>
      <c r="H33" s="126"/>
      <c r="I33" s="126"/>
    </row>
    <row r="34" spans="1:13" s="193" customFormat="1" x14ac:dyDescent="0.25">
      <c r="A34" s="127"/>
      <c r="B34" s="124"/>
      <c r="C34" s="125"/>
      <c r="D34" s="128"/>
      <c r="E34" s="128"/>
      <c r="F34" s="128"/>
      <c r="G34" s="128"/>
      <c r="H34" s="129"/>
      <c r="I34" s="129"/>
      <c r="J34" s="129"/>
      <c r="K34" s="128"/>
      <c r="L34" s="157"/>
    </row>
    <row r="35" spans="1:13" s="193" customFormat="1" x14ac:dyDescent="0.25">
      <c r="A35" s="127"/>
      <c r="B35" s="124"/>
      <c r="C35" s="125"/>
      <c r="D35" s="128"/>
      <c r="E35" s="128"/>
      <c r="F35" s="128"/>
      <c r="G35" s="128"/>
      <c r="H35" s="129"/>
      <c r="I35" s="129"/>
      <c r="J35" s="129"/>
      <c r="K35" s="128"/>
      <c r="L35" s="157"/>
    </row>
    <row r="36" spans="1:13" s="193" customFormat="1" x14ac:dyDescent="0.25">
      <c r="A36" s="123"/>
      <c r="B36" s="124"/>
      <c r="C36" s="125"/>
      <c r="D36" s="125"/>
      <c r="E36" s="125"/>
      <c r="F36" s="125"/>
      <c r="G36" s="125"/>
      <c r="H36" s="126"/>
      <c r="I36" s="126"/>
      <c r="J36" s="126"/>
      <c r="K36" s="125"/>
      <c r="L36" s="116"/>
    </row>
    <row r="37" spans="1:13" x14ac:dyDescent="0.25">
      <c r="A37" s="127"/>
      <c r="D37" s="128"/>
      <c r="E37" s="128"/>
      <c r="G37" s="129"/>
      <c r="H37" s="129"/>
      <c r="I37" s="193"/>
      <c r="J37" s="193"/>
      <c r="K37" s="193"/>
    </row>
    <row r="38" spans="1:13" x14ac:dyDescent="0.25">
      <c r="A38" s="127"/>
      <c r="D38" s="128"/>
      <c r="E38" s="128"/>
      <c r="G38" s="129"/>
      <c r="H38" s="129"/>
      <c r="I38" s="193"/>
      <c r="J38" s="193"/>
      <c r="K38" s="193"/>
    </row>
    <row r="39" spans="1:13" s="130" customFormat="1" ht="21" customHeight="1" x14ac:dyDescent="0.25">
      <c r="A39" s="123"/>
      <c r="B39" s="124"/>
      <c r="C39" s="125"/>
      <c r="D39" s="125"/>
      <c r="E39" s="125"/>
      <c r="F39" s="125"/>
      <c r="G39" s="126" t="s">
        <v>1837</v>
      </c>
      <c r="H39" s="126">
        <v>6515000</v>
      </c>
      <c r="J39" s="125"/>
      <c r="K39" s="116"/>
      <c r="L39" s="116"/>
      <c r="M39" s="116"/>
    </row>
    <row r="40" spans="1:13" s="130" customFormat="1" x14ac:dyDescent="0.25">
      <c r="A40" s="123"/>
      <c r="B40" s="124"/>
      <c r="C40" s="125"/>
      <c r="D40" s="125"/>
      <c r="E40" s="125"/>
      <c r="F40" s="125"/>
      <c r="H40" s="126"/>
      <c r="J40" s="125"/>
      <c r="K40" s="116"/>
      <c r="L40" s="116"/>
      <c r="M40" s="116"/>
    </row>
    <row r="41" spans="1:13" s="130" customFormat="1" ht="21" customHeight="1" x14ac:dyDescent="0.25">
      <c r="A41" s="123"/>
      <c r="B41" s="124"/>
      <c r="C41" s="125"/>
      <c r="D41" s="125"/>
      <c r="E41" s="125"/>
      <c r="F41" s="125"/>
      <c r="H41" s="126">
        <f>+J10</f>
        <v>0</v>
      </c>
      <c r="J41" s="125"/>
      <c r="K41" s="116"/>
      <c r="L41" s="116"/>
      <c r="M41" s="116"/>
    </row>
    <row r="42" spans="1:13" x14ac:dyDescent="0.25">
      <c r="G42" s="130" t="s">
        <v>1199</v>
      </c>
      <c r="H42" s="130">
        <f>+J18</f>
        <v>0</v>
      </c>
    </row>
    <row r="43" spans="1:13" s="130" customFormat="1" ht="15.75" thickBot="1" x14ac:dyDescent="0.3">
      <c r="A43" s="123"/>
      <c r="B43" s="124"/>
      <c r="C43" s="125"/>
      <c r="D43" s="125"/>
      <c r="E43" s="125"/>
      <c r="F43" s="125"/>
      <c r="G43" s="130" t="s">
        <v>1230</v>
      </c>
      <c r="H43" s="153">
        <f>+J26</f>
        <v>30333.333333333299</v>
      </c>
      <c r="J43" s="125"/>
      <c r="K43" s="116"/>
      <c r="L43" s="116"/>
      <c r="M43" s="116"/>
    </row>
    <row r="44" spans="1:13" s="130" customFormat="1" ht="15.75" thickTop="1" x14ac:dyDescent="0.25">
      <c r="A44" s="123"/>
      <c r="B44" s="124"/>
      <c r="C44" s="125"/>
      <c r="D44" s="125"/>
      <c r="E44" s="125"/>
      <c r="F44" s="125"/>
      <c r="G44" s="130" t="s">
        <v>1198</v>
      </c>
      <c r="H44" s="158"/>
      <c r="J44" s="125"/>
      <c r="K44" s="116"/>
      <c r="L44" s="116"/>
      <c r="M44" s="116"/>
    </row>
    <row r="45" spans="1:13" s="130" customFormat="1" x14ac:dyDescent="0.25">
      <c r="A45" s="123"/>
      <c r="B45" s="124"/>
      <c r="C45" s="125"/>
      <c r="D45" s="125"/>
      <c r="E45" s="125"/>
      <c r="F45" s="125"/>
      <c r="H45" s="158">
        <f>+H41+H42-H43</f>
        <v>-30333.333333333299</v>
      </c>
      <c r="J45" s="125"/>
      <c r="K45" s="116"/>
      <c r="L45" s="116"/>
      <c r="M45" s="116"/>
    </row>
    <row r="46" spans="1:13" s="130" customFormat="1" x14ac:dyDescent="0.25">
      <c r="A46" s="123"/>
      <c r="B46" s="124"/>
      <c r="C46" s="125"/>
      <c r="D46" s="125"/>
      <c r="E46" s="125"/>
      <c r="F46" s="125"/>
      <c r="J46" s="125"/>
      <c r="K46" s="116"/>
      <c r="L46" s="116"/>
      <c r="M46" s="116"/>
    </row>
    <row r="47" spans="1:13" ht="15.75" thickBot="1" x14ac:dyDescent="0.3">
      <c r="G47" s="126" t="s">
        <v>1951</v>
      </c>
      <c r="H47" s="251">
        <f>+'Nómina CAID Temporal'!K101</f>
        <v>6484666.666666667</v>
      </c>
    </row>
    <row r="48" spans="1:13" ht="15.75" thickTop="1" x14ac:dyDescent="0.25"/>
    <row r="49" spans="7:8" x14ac:dyDescent="0.25">
      <c r="H49" s="126">
        <f>+H39+H45</f>
        <v>6484666.666666667</v>
      </c>
    </row>
    <row r="50" spans="7:8" x14ac:dyDescent="0.25">
      <c r="G50" s="126"/>
    </row>
  </sheetData>
  <mergeCells count="5">
    <mergeCell ref="C27:D27"/>
    <mergeCell ref="C28:D28"/>
    <mergeCell ref="I28:J28"/>
    <mergeCell ref="C29:D29"/>
    <mergeCell ref="I29:J29"/>
  </mergeCells>
  <printOptions horizontalCentered="1" verticalCentered="1"/>
  <pageMargins left="0.28000000000000003" right="0.33" top="0" bottom="1.4960629921259843" header="0" footer="0"/>
  <pageSetup scale="53" orientation="landscape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X87"/>
  <sheetViews>
    <sheetView showGridLines="0" workbookViewId="0">
      <pane xSplit="4" ySplit="6" topLeftCell="E52" activePane="bottomRight" state="frozen"/>
      <selection pane="topRight" activeCell="E1" sqref="E1"/>
      <selection pane="bottomLeft" activeCell="A10" sqref="A10"/>
      <selection pane="bottomRight" activeCell="C58" sqref="C58"/>
    </sheetView>
  </sheetViews>
  <sheetFormatPr baseColWidth="10" defaultColWidth="11.42578125" defaultRowHeight="15.75" x14ac:dyDescent="0.25"/>
  <cols>
    <col min="1" max="1" width="1.28515625" style="14" customWidth="1"/>
    <col min="2" max="2" width="13.140625" style="43" customWidth="1"/>
    <col min="3" max="3" width="23" style="43" customWidth="1"/>
    <col min="4" max="4" width="38.5703125" style="14" customWidth="1"/>
    <col min="5" max="5" width="16.7109375" style="14" customWidth="1"/>
    <col min="6" max="6" width="28" style="14" customWidth="1"/>
    <col min="7" max="7" width="18.140625" style="14" customWidth="1"/>
    <col min="8" max="8" width="28" style="14" customWidth="1"/>
    <col min="9" max="9" width="22.42578125" style="14" customWidth="1"/>
    <col min="10" max="10" width="18.140625" style="14" bestFit="1" customWidth="1"/>
    <col min="11" max="11" width="16.28515625" style="14" customWidth="1"/>
    <col min="12" max="12" width="17" style="14" bestFit="1" customWidth="1"/>
    <col min="13" max="13" width="17.7109375" style="14" customWidth="1"/>
    <col min="14" max="14" width="22.42578125" style="14" customWidth="1"/>
    <col min="15" max="15" width="16" style="14" bestFit="1" customWidth="1"/>
    <col min="16" max="16" width="22.140625" style="14" customWidth="1"/>
    <col min="17" max="18" width="17.7109375" style="14" customWidth="1"/>
    <col min="19" max="19" width="23.85546875" style="14" customWidth="1"/>
    <col min="20" max="20" width="18.140625" style="14" customWidth="1"/>
    <col min="21" max="21" width="22.85546875" style="14" customWidth="1"/>
    <col min="22" max="22" width="26" style="58" customWidth="1"/>
    <col min="23" max="23" width="57.5703125" style="14" bestFit="1" customWidth="1"/>
    <col min="24" max="24" width="13.140625" style="14" bestFit="1" customWidth="1"/>
    <col min="25" max="25" width="11.42578125" style="14"/>
    <col min="26" max="26" width="23.140625" style="14" bestFit="1" customWidth="1"/>
    <col min="27" max="16384" width="11.42578125" style="14"/>
  </cols>
  <sheetData>
    <row r="3" spans="1:24" x14ac:dyDescent="0.25">
      <c r="B3" s="408" t="s">
        <v>44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9"/>
      <c r="V3" s="56"/>
      <c r="W3" s="49"/>
    </row>
    <row r="4" spans="1:24" x14ac:dyDescent="0.25">
      <c r="B4" s="408" t="s">
        <v>1950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9"/>
      <c r="V4" s="56"/>
      <c r="W4" s="49"/>
      <c r="X4" s="49"/>
    </row>
    <row r="5" spans="1:24" ht="9" customHeight="1" x14ac:dyDescent="0.25">
      <c r="D5" s="15"/>
      <c r="E5" s="15"/>
      <c r="F5" s="15"/>
      <c r="G5" s="15"/>
      <c r="H5" s="15"/>
      <c r="I5" s="15"/>
      <c r="J5" s="29"/>
      <c r="K5" s="15"/>
      <c r="L5" s="15"/>
      <c r="M5" s="15"/>
      <c r="N5" s="15"/>
      <c r="O5" s="29"/>
      <c r="P5" s="29"/>
      <c r="Q5" s="47"/>
      <c r="R5" s="47"/>
      <c r="S5" s="29"/>
      <c r="T5" s="29"/>
      <c r="U5" s="15"/>
      <c r="V5" s="57"/>
      <c r="W5" s="15"/>
      <c r="X5" s="15"/>
    </row>
    <row r="6" spans="1:24" s="30" customFormat="1" ht="47.25" x14ac:dyDescent="0.25">
      <c r="B6" s="64" t="s">
        <v>9</v>
      </c>
      <c r="C6" s="65" t="s">
        <v>45</v>
      </c>
      <c r="D6" s="66" t="s">
        <v>0</v>
      </c>
      <c r="E6" s="67" t="s">
        <v>46</v>
      </c>
      <c r="F6" s="67" t="s">
        <v>47</v>
      </c>
      <c r="G6" s="67" t="s">
        <v>1194</v>
      </c>
      <c r="H6" s="67" t="s">
        <v>1063</v>
      </c>
      <c r="I6" s="67" t="s">
        <v>866</v>
      </c>
      <c r="J6" s="64" t="s">
        <v>8</v>
      </c>
      <c r="K6" s="64" t="s">
        <v>868</v>
      </c>
      <c r="L6" s="64" t="s">
        <v>867</v>
      </c>
      <c r="M6" s="64" t="s">
        <v>7</v>
      </c>
      <c r="N6" s="64" t="s">
        <v>36</v>
      </c>
      <c r="O6" s="64" t="s">
        <v>1</v>
      </c>
      <c r="P6" s="64" t="s">
        <v>1038</v>
      </c>
      <c r="Q6" s="64" t="s">
        <v>6</v>
      </c>
      <c r="R6" s="64" t="s">
        <v>43</v>
      </c>
      <c r="S6" s="64" t="s">
        <v>4</v>
      </c>
      <c r="T6" s="68" t="s">
        <v>5</v>
      </c>
      <c r="U6" s="68" t="s">
        <v>826</v>
      </c>
      <c r="V6" s="68" t="s">
        <v>825</v>
      </c>
    </row>
    <row r="7" spans="1:24" x14ac:dyDescent="0.25">
      <c r="A7" s="194"/>
      <c r="B7" s="195">
        <v>1</v>
      </c>
      <c r="C7" s="195" t="s">
        <v>1515</v>
      </c>
      <c r="D7" s="194" t="s">
        <v>1516</v>
      </c>
      <c r="E7" s="194" t="s">
        <v>86</v>
      </c>
      <c r="F7" s="194" t="s">
        <v>88</v>
      </c>
      <c r="G7" s="195">
        <v>1</v>
      </c>
      <c r="H7" s="322" t="s">
        <v>1060</v>
      </c>
      <c r="I7" s="194" t="s">
        <v>829</v>
      </c>
      <c r="J7" s="59">
        <v>10500</v>
      </c>
      <c r="K7" s="48"/>
      <c r="L7" s="48"/>
      <c r="M7" s="42"/>
      <c r="N7" s="42">
        <f t="shared" ref="N7:N75" si="0">+J7-(K7+L7+M7)</f>
        <v>10500</v>
      </c>
      <c r="O7" s="60" t="str">
        <f>IF(N7&lt;=[2]Datos!$G$7,"0",IF(N7&lt;=[2]Datos!$G$8,(N7-[2]Datos!$F$8)*[2]Datos!$I$6,IF(N7&lt;=[2]Datos!$G$9,[2]Datos!$I$8+(N7-[2]Datos!$F$9)*[2]Datos!$J$6,IF(N7&gt;=[2]Datos!$F$10,([2]Datos!$I$8+[2]Datos!$J$8)+(N7-[2]Datos!$F$10)*[2]Datos!$K$6))))</f>
        <v>0</v>
      </c>
      <c r="P7" s="42"/>
      <c r="Q7" s="42"/>
      <c r="R7" s="42"/>
      <c r="S7" s="42">
        <f t="shared" ref="S7:S75" si="1">SUM(O7:Q7)+(K7+L7+M7)-R7</f>
        <v>0</v>
      </c>
      <c r="T7" s="42">
        <f t="shared" ref="T7:T75" si="2">+J7-S7</f>
        <v>10500</v>
      </c>
      <c r="U7" s="196">
        <v>400855666</v>
      </c>
      <c r="V7" s="323">
        <v>45352</v>
      </c>
    </row>
    <row r="8" spans="1:24" x14ac:dyDescent="0.25">
      <c r="A8" s="194"/>
      <c r="B8" s="195">
        <v>2</v>
      </c>
      <c r="C8" s="195" t="s">
        <v>1223</v>
      </c>
      <c r="D8" s="194" t="s">
        <v>1224</v>
      </c>
      <c r="E8" s="194" t="s">
        <v>86</v>
      </c>
      <c r="F8" s="194" t="s">
        <v>88</v>
      </c>
      <c r="G8" s="195">
        <v>1</v>
      </c>
      <c r="H8" s="322" t="s">
        <v>1061</v>
      </c>
      <c r="I8" s="194" t="s">
        <v>829</v>
      </c>
      <c r="J8" s="59">
        <v>8500</v>
      </c>
      <c r="K8" s="48"/>
      <c r="L8" s="48"/>
      <c r="M8" s="42"/>
      <c r="N8" s="42">
        <f t="shared" si="0"/>
        <v>8500</v>
      </c>
      <c r="O8" s="60" t="str">
        <f>IF(N8&lt;=[2]Datos!$G$7,"0",IF(N8&lt;=[2]Datos!$G$8,(N8-[2]Datos!$F$8)*[2]Datos!$I$6,IF(N8&lt;=[2]Datos!$G$9,[2]Datos!$I$8+(N8-[2]Datos!$F$9)*[2]Datos!$J$6,IF(N8&gt;=[2]Datos!$F$10,([2]Datos!$I$8+[2]Datos!$J$8)+(N8-[2]Datos!$F$10)*[2]Datos!$K$6))))</f>
        <v>0</v>
      </c>
      <c r="P8" s="42"/>
      <c r="Q8" s="42"/>
      <c r="R8" s="42"/>
      <c r="S8" s="42">
        <f t="shared" ref="S8:S9" si="3">SUM(O8:Q8)+(K8+L8+M8)-R8</f>
        <v>0</v>
      </c>
      <c r="T8" s="42">
        <f t="shared" si="2"/>
        <v>8500</v>
      </c>
      <c r="U8" s="196"/>
      <c r="V8" s="323">
        <v>44958</v>
      </c>
    </row>
    <row r="9" spans="1:24" x14ac:dyDescent="0.25">
      <c r="A9" s="194"/>
      <c r="B9" s="195">
        <v>3</v>
      </c>
      <c r="C9" s="195" t="s">
        <v>1482</v>
      </c>
      <c r="D9" s="194" t="s">
        <v>1478</v>
      </c>
      <c r="E9" s="194" t="s">
        <v>86</v>
      </c>
      <c r="F9" s="194" t="s">
        <v>88</v>
      </c>
      <c r="G9" s="195">
        <v>1</v>
      </c>
      <c r="H9" s="322" t="s">
        <v>1067</v>
      </c>
      <c r="I9" s="194" t="s">
        <v>829</v>
      </c>
      <c r="J9" s="59">
        <v>12000</v>
      </c>
      <c r="K9" s="48"/>
      <c r="L9" s="48"/>
      <c r="M9" s="42"/>
      <c r="N9" s="42">
        <f t="shared" si="0"/>
        <v>12000</v>
      </c>
      <c r="O9" s="60" t="str">
        <f>IF(N9&lt;=[2]Datos!$G$7,"0",IF(N9&lt;=[2]Datos!$G$8,(N9-[2]Datos!$F$8)*[2]Datos!$I$6,IF(N9&lt;=[2]Datos!$G$9,[2]Datos!$I$8+(N9-[2]Datos!$F$9)*[2]Datos!$J$6,IF(N9&gt;=[2]Datos!$F$10,([2]Datos!$I$8+[2]Datos!$J$8)+(N9-[2]Datos!$F$10)*[2]Datos!$K$6))))</f>
        <v>0</v>
      </c>
      <c r="P9" s="42"/>
      <c r="Q9" s="42"/>
      <c r="R9" s="42"/>
      <c r="S9" s="42">
        <f t="shared" si="3"/>
        <v>0</v>
      </c>
      <c r="T9" s="42">
        <f t="shared" si="2"/>
        <v>12000</v>
      </c>
      <c r="U9" s="196">
        <v>2320347051</v>
      </c>
      <c r="V9" s="323">
        <v>45323</v>
      </c>
    </row>
    <row r="10" spans="1:24" x14ac:dyDescent="0.25">
      <c r="A10" s="194"/>
      <c r="B10" s="195">
        <v>4</v>
      </c>
      <c r="C10" s="195" t="s">
        <v>56</v>
      </c>
      <c r="D10" s="194" t="s">
        <v>75</v>
      </c>
      <c r="E10" s="194" t="s">
        <v>86</v>
      </c>
      <c r="F10" s="194" t="s">
        <v>88</v>
      </c>
      <c r="G10" s="195">
        <v>1</v>
      </c>
      <c r="H10" s="322" t="s">
        <v>1062</v>
      </c>
      <c r="I10" s="194" t="s">
        <v>829</v>
      </c>
      <c r="J10" s="59">
        <v>13000</v>
      </c>
      <c r="K10" s="48"/>
      <c r="L10" s="48"/>
      <c r="M10" s="42"/>
      <c r="N10" s="42">
        <f t="shared" si="0"/>
        <v>13000</v>
      </c>
      <c r="O10" s="60" t="str">
        <f>IF(N10&lt;=[2]Datos!$G$7,"0",IF(N10&lt;=[2]Datos!$G$8,(N10-[2]Datos!$F$8)*[2]Datos!$I$6,IF(N10&lt;=[2]Datos!$G$9,[2]Datos!$I$8+(N10-[2]Datos!$F$9)*[2]Datos!$J$6,IF(N10&gt;=[2]Datos!$F$10,([2]Datos!$I$8+[2]Datos!$J$8)+(N10-[2]Datos!$F$10)*[2]Datos!$K$6))))</f>
        <v>0</v>
      </c>
      <c r="P10" s="42"/>
      <c r="Q10" s="42"/>
      <c r="R10" s="42"/>
      <c r="S10" s="42">
        <f t="shared" si="1"/>
        <v>0</v>
      </c>
      <c r="T10" s="42">
        <f t="shared" si="2"/>
        <v>13000</v>
      </c>
      <c r="U10" s="196" t="s">
        <v>96</v>
      </c>
      <c r="V10" s="323">
        <v>44228</v>
      </c>
    </row>
    <row r="11" spans="1:24" x14ac:dyDescent="0.25">
      <c r="A11" s="194"/>
      <c r="B11" s="195">
        <v>5</v>
      </c>
      <c r="C11" s="195" t="s">
        <v>1413</v>
      </c>
      <c r="D11" s="194" t="s">
        <v>1414</v>
      </c>
      <c r="E11" s="194" t="s">
        <v>86</v>
      </c>
      <c r="F11" s="194" t="s">
        <v>88</v>
      </c>
      <c r="G11" s="195">
        <v>1</v>
      </c>
      <c r="H11" s="322" t="s">
        <v>1067</v>
      </c>
      <c r="I11" s="194" t="s">
        <v>829</v>
      </c>
      <c r="J11" s="59">
        <v>10500</v>
      </c>
      <c r="K11" s="48"/>
      <c r="L11" s="48"/>
      <c r="M11" s="42"/>
      <c r="N11" s="42">
        <f t="shared" si="0"/>
        <v>10500</v>
      </c>
      <c r="O11" s="60" t="str">
        <f>IF(N11&lt;=[2]Datos!$G$7,"0",IF(N11&lt;=[2]Datos!$G$8,(N11-[2]Datos!$F$8)*[2]Datos!$I$6,IF(N11&lt;=[2]Datos!$G$9,[2]Datos!$I$8+(N11-[2]Datos!$F$9)*[2]Datos!$J$6,IF(N11&gt;=[2]Datos!$F$10,([2]Datos!$I$8+[2]Datos!$J$8)+(N11-[2]Datos!$F$10)*[2]Datos!$K$6))))</f>
        <v>0</v>
      </c>
      <c r="P11" s="42"/>
      <c r="Q11" s="42"/>
      <c r="R11" s="42"/>
      <c r="S11" s="42">
        <f t="shared" si="1"/>
        <v>0</v>
      </c>
      <c r="T11" s="42">
        <f t="shared" si="2"/>
        <v>10500</v>
      </c>
      <c r="U11" s="196">
        <v>120252395</v>
      </c>
      <c r="V11" s="323">
        <v>45200</v>
      </c>
    </row>
    <row r="12" spans="1:24" x14ac:dyDescent="0.25">
      <c r="A12" s="194"/>
      <c r="B12" s="195">
        <v>6</v>
      </c>
      <c r="C12" s="351" t="s">
        <v>1815</v>
      </c>
      <c r="D12" s="352" t="s">
        <v>1816</v>
      </c>
      <c r="E12" s="352" t="s">
        <v>86</v>
      </c>
      <c r="F12" s="352" t="s">
        <v>88</v>
      </c>
      <c r="G12" s="351">
        <v>1</v>
      </c>
      <c r="H12" s="361" t="s">
        <v>1067</v>
      </c>
      <c r="I12" s="352" t="s">
        <v>1532</v>
      </c>
      <c r="J12" s="355">
        <v>0</v>
      </c>
      <c r="K12" s="356"/>
      <c r="L12" s="356"/>
      <c r="M12" s="357"/>
      <c r="N12" s="357">
        <f t="shared" si="0"/>
        <v>0</v>
      </c>
      <c r="O12" s="358" t="str">
        <f>IF(N12&lt;=[2]Datos!$G$7,"0",IF(N12&lt;=[2]Datos!$G$8,(N12-[2]Datos!$F$8)*[2]Datos!$I$6,IF(N12&lt;=[2]Datos!$G$9,[2]Datos!$I$8+(N12-[2]Datos!$F$9)*[2]Datos!$J$6,IF(N12&gt;=[2]Datos!$F$10,([2]Datos!$I$8+[2]Datos!$J$8)+(N12-[2]Datos!$F$10)*[2]Datos!$K$6))))</f>
        <v>0</v>
      </c>
      <c r="P12" s="357"/>
      <c r="Q12" s="357"/>
      <c r="R12" s="357"/>
      <c r="S12" s="357">
        <f t="shared" si="1"/>
        <v>0</v>
      </c>
      <c r="T12" s="357">
        <f t="shared" si="2"/>
        <v>0</v>
      </c>
      <c r="U12" s="359">
        <v>9605845528</v>
      </c>
      <c r="V12" s="360">
        <v>45597</v>
      </c>
    </row>
    <row r="13" spans="1:24" x14ac:dyDescent="0.25">
      <c r="A13" s="194"/>
      <c r="B13" s="195">
        <v>7</v>
      </c>
      <c r="C13" s="195" t="s">
        <v>61</v>
      </c>
      <c r="D13" s="194" t="s">
        <v>80</v>
      </c>
      <c r="E13" s="194" t="s">
        <v>86</v>
      </c>
      <c r="F13" s="194" t="s">
        <v>88</v>
      </c>
      <c r="G13" s="195">
        <v>1</v>
      </c>
      <c r="H13" s="322" t="s">
        <v>1060</v>
      </c>
      <c r="I13" s="194" t="s">
        <v>829</v>
      </c>
      <c r="J13" s="59">
        <v>12000</v>
      </c>
      <c r="K13" s="48"/>
      <c r="L13" s="48"/>
      <c r="M13" s="42"/>
      <c r="N13" s="42">
        <f t="shared" si="0"/>
        <v>12000</v>
      </c>
      <c r="O13" s="60" t="str">
        <f>IF(N13&lt;=[2]Datos!$G$7,"0",IF(N13&lt;=[2]Datos!$G$8,(N13-[2]Datos!$F$8)*[2]Datos!$I$6,IF(N13&lt;=[2]Datos!$G$9,[2]Datos!$I$8+(N13-[2]Datos!$F$9)*[2]Datos!$J$6,IF(N13&gt;=[2]Datos!$F$10,([2]Datos!$I$8+[2]Datos!$J$8)+(N13-[2]Datos!$F$10)*[2]Datos!$K$6))))</f>
        <v>0</v>
      </c>
      <c r="P13" s="42"/>
      <c r="Q13" s="42"/>
      <c r="R13" s="42"/>
      <c r="S13" s="42">
        <f t="shared" si="1"/>
        <v>0</v>
      </c>
      <c r="T13" s="42">
        <f t="shared" si="2"/>
        <v>12000</v>
      </c>
      <c r="U13" s="196" t="s">
        <v>100</v>
      </c>
      <c r="V13" s="323">
        <v>44197</v>
      </c>
    </row>
    <row r="14" spans="1:24" x14ac:dyDescent="0.25">
      <c r="A14" s="194"/>
      <c r="B14" s="195">
        <v>8</v>
      </c>
      <c r="C14" s="195" t="s">
        <v>347</v>
      </c>
      <c r="D14" s="194" t="s">
        <v>587</v>
      </c>
      <c r="E14" s="194" t="s">
        <v>86</v>
      </c>
      <c r="F14" s="194" t="s">
        <v>88</v>
      </c>
      <c r="G14" s="195">
        <v>1</v>
      </c>
      <c r="H14" s="322" t="s">
        <v>1061</v>
      </c>
      <c r="I14" s="194" t="s">
        <v>829</v>
      </c>
      <c r="J14" s="59">
        <v>14000</v>
      </c>
      <c r="K14" s="48"/>
      <c r="L14" s="48"/>
      <c r="M14" s="42"/>
      <c r="N14" s="42">
        <f t="shared" si="0"/>
        <v>14000</v>
      </c>
      <c r="O14" s="60" t="str">
        <f>IF(N14&lt;=[2]Datos!$G$7,"0",IF(N14&lt;=[2]Datos!$G$8,(N14-[2]Datos!$F$8)*[2]Datos!$I$6,IF(N14&lt;=[2]Datos!$G$9,[2]Datos!$I$8+(N14-[2]Datos!$F$9)*[2]Datos!$J$6,IF(N14&gt;=[2]Datos!$F$10,([2]Datos!$I$8+[2]Datos!$J$8)+(N14-[2]Datos!$F$10)*[2]Datos!$K$6))))</f>
        <v>0</v>
      </c>
      <c r="P14" s="42"/>
      <c r="Q14" s="42"/>
      <c r="R14" s="42"/>
      <c r="S14" s="42">
        <f t="shared" si="1"/>
        <v>0</v>
      </c>
      <c r="T14" s="42">
        <f t="shared" si="2"/>
        <v>14000</v>
      </c>
      <c r="U14" s="196" t="s">
        <v>106</v>
      </c>
      <c r="V14" s="323">
        <v>44197</v>
      </c>
    </row>
    <row r="15" spans="1:24" x14ac:dyDescent="0.25">
      <c r="A15" s="194"/>
      <c r="B15" s="195">
        <v>9</v>
      </c>
      <c r="C15" s="195" t="s">
        <v>1600</v>
      </c>
      <c r="D15" s="194" t="s">
        <v>588</v>
      </c>
      <c r="E15" s="194" t="s">
        <v>86</v>
      </c>
      <c r="F15" s="194" t="s">
        <v>88</v>
      </c>
      <c r="G15" s="195">
        <v>1</v>
      </c>
      <c r="H15" s="322" t="s">
        <v>1062</v>
      </c>
      <c r="I15" s="194" t="s">
        <v>829</v>
      </c>
      <c r="J15" s="59">
        <v>13000</v>
      </c>
      <c r="K15" s="48"/>
      <c r="L15" s="48"/>
      <c r="M15" s="42"/>
      <c r="N15" s="42">
        <f t="shared" si="0"/>
        <v>13000</v>
      </c>
      <c r="O15" s="60" t="str">
        <f>IF(N15&lt;=[2]Datos!$G$7,"0",IF(N15&lt;=[2]Datos!$G$8,(N15-[2]Datos!$F$8)*[2]Datos!$I$6,IF(N15&lt;=[2]Datos!$G$9,[2]Datos!$I$8+(N15-[2]Datos!$F$9)*[2]Datos!$J$6,IF(N15&gt;=[2]Datos!$F$10,([2]Datos!$I$8+[2]Datos!$J$8)+(N15-[2]Datos!$F$10)*[2]Datos!$K$6))))</f>
        <v>0</v>
      </c>
      <c r="P15" s="42"/>
      <c r="Q15" s="42"/>
      <c r="R15" s="42"/>
      <c r="S15" s="42">
        <f t="shared" si="1"/>
        <v>0</v>
      </c>
      <c r="T15" s="42">
        <f t="shared" si="2"/>
        <v>13000</v>
      </c>
      <c r="U15" s="196" t="s">
        <v>107</v>
      </c>
      <c r="V15" s="323">
        <v>44197</v>
      </c>
    </row>
    <row r="16" spans="1:24" x14ac:dyDescent="0.25">
      <c r="A16" s="194"/>
      <c r="B16" s="195">
        <v>10</v>
      </c>
      <c r="C16" s="195" t="s">
        <v>348</v>
      </c>
      <c r="D16" s="194" t="s">
        <v>589</v>
      </c>
      <c r="E16" s="194" t="s">
        <v>86</v>
      </c>
      <c r="F16" s="194" t="s">
        <v>88</v>
      </c>
      <c r="G16" s="195">
        <v>1</v>
      </c>
      <c r="H16" s="322" t="s">
        <v>1061</v>
      </c>
      <c r="I16" s="194" t="s">
        <v>829</v>
      </c>
      <c r="J16" s="59">
        <v>12000</v>
      </c>
      <c r="K16" s="48"/>
      <c r="L16" s="48"/>
      <c r="M16" s="42"/>
      <c r="N16" s="42">
        <f t="shared" si="0"/>
        <v>12000</v>
      </c>
      <c r="O16" s="60" t="str">
        <f>IF(N16&lt;=[2]Datos!$G$7,"0",IF(N16&lt;=[2]Datos!$G$8,(N16-[2]Datos!$F$8)*[2]Datos!$I$6,IF(N16&lt;=[2]Datos!$G$9,[2]Datos!$I$8+(N16-[2]Datos!$F$9)*[2]Datos!$J$6,IF(N16&gt;=[2]Datos!$F$10,([2]Datos!$I$8+[2]Datos!$J$8)+(N16-[2]Datos!$F$10)*[2]Datos!$K$6))))</f>
        <v>0</v>
      </c>
      <c r="P16" s="42"/>
      <c r="Q16" s="42"/>
      <c r="R16" s="42"/>
      <c r="S16" s="42">
        <f t="shared" si="1"/>
        <v>0</v>
      </c>
      <c r="T16" s="42">
        <f t="shared" si="2"/>
        <v>12000</v>
      </c>
      <c r="U16" s="196" t="s">
        <v>108</v>
      </c>
      <c r="V16" s="323">
        <v>44197</v>
      </c>
    </row>
    <row r="17" spans="1:22" x14ac:dyDescent="0.25">
      <c r="A17" s="194"/>
      <c r="B17" s="195">
        <v>11</v>
      </c>
      <c r="C17" s="195" t="s">
        <v>1687</v>
      </c>
      <c r="D17" s="194" t="s">
        <v>1688</v>
      </c>
      <c r="E17" s="194" t="s">
        <v>86</v>
      </c>
      <c r="F17" s="194" t="s">
        <v>88</v>
      </c>
      <c r="G17" s="195">
        <v>1</v>
      </c>
      <c r="H17" s="322" t="s">
        <v>1686</v>
      </c>
      <c r="I17" s="194" t="s">
        <v>1532</v>
      </c>
      <c r="J17" s="59">
        <v>13000</v>
      </c>
      <c r="K17" s="48"/>
      <c r="L17" s="48"/>
      <c r="M17" s="42"/>
      <c r="N17" s="42">
        <f t="shared" si="0"/>
        <v>13000</v>
      </c>
      <c r="O17" s="60" t="str">
        <f>IF(N17&lt;=[2]Datos!$G$7,"0",IF(N17&lt;=[2]Datos!$G$8,(N17-[2]Datos!$F$8)*[2]Datos!$I$6,IF(N17&lt;=[2]Datos!$G$9,[2]Datos!$I$8+(N17-[2]Datos!$F$9)*[2]Datos!$J$6,IF(N17&gt;=[2]Datos!$F$10,([2]Datos!$I$8+[2]Datos!$J$8)+(N17-[2]Datos!$F$10)*[2]Datos!$K$6))))</f>
        <v>0</v>
      </c>
      <c r="P17" s="42"/>
      <c r="Q17" s="42"/>
      <c r="R17" s="42"/>
      <c r="S17" s="42">
        <f t="shared" si="1"/>
        <v>0</v>
      </c>
      <c r="T17" s="42">
        <f t="shared" si="2"/>
        <v>13000</v>
      </c>
      <c r="U17" s="196">
        <v>2320416827</v>
      </c>
      <c r="V17" s="323">
        <v>45536</v>
      </c>
    </row>
    <row r="18" spans="1:22" x14ac:dyDescent="0.25">
      <c r="A18" s="194"/>
      <c r="B18" s="195">
        <v>12</v>
      </c>
      <c r="C18" s="195" t="s">
        <v>1601</v>
      </c>
      <c r="D18" s="194" t="s">
        <v>1235</v>
      </c>
      <c r="E18" s="194" t="s">
        <v>86</v>
      </c>
      <c r="F18" s="194" t="s">
        <v>88</v>
      </c>
      <c r="G18" s="195">
        <v>1</v>
      </c>
      <c r="H18" s="322" t="s">
        <v>1067</v>
      </c>
      <c r="I18" s="194" t="s">
        <v>829</v>
      </c>
      <c r="J18" s="59">
        <v>8500</v>
      </c>
      <c r="K18" s="48"/>
      <c r="L18" s="48"/>
      <c r="M18" s="42"/>
      <c r="N18" s="42">
        <f t="shared" si="0"/>
        <v>8500</v>
      </c>
      <c r="O18" s="60" t="str">
        <f>IF(N18&lt;=[2]Datos!$G$7,"0",IF(N18&lt;=[2]Datos!$G$8,(N18-[2]Datos!$F$8)*[2]Datos!$I$6,IF(N18&lt;=[2]Datos!$G$9,[2]Datos!$I$8+(N18-[2]Datos!$F$9)*[2]Datos!$J$6,IF(N18&gt;=[2]Datos!$F$10,([2]Datos!$I$8+[2]Datos!$J$8)+(N18-[2]Datos!$F$10)*[2]Datos!$K$6))))</f>
        <v>0</v>
      </c>
      <c r="P18" s="42"/>
      <c r="Q18" s="42"/>
      <c r="R18" s="42"/>
      <c r="S18" s="42">
        <f t="shared" ref="S18:S22" si="4">SUM(O18:Q18)+(K18+L18+M18)-R18</f>
        <v>0</v>
      </c>
      <c r="T18" s="42">
        <f t="shared" si="2"/>
        <v>8500</v>
      </c>
      <c r="U18" s="196" t="s">
        <v>1236</v>
      </c>
      <c r="V18" s="323">
        <v>45047</v>
      </c>
    </row>
    <row r="19" spans="1:22" x14ac:dyDescent="0.25">
      <c r="A19" s="194"/>
      <c r="B19" s="195">
        <v>13</v>
      </c>
      <c r="C19" s="195" t="s">
        <v>1405</v>
      </c>
      <c r="D19" s="194" t="s">
        <v>1406</v>
      </c>
      <c r="E19" s="194" t="s">
        <v>86</v>
      </c>
      <c r="F19" s="194" t="s">
        <v>88</v>
      </c>
      <c r="G19" s="195">
        <v>1</v>
      </c>
      <c r="H19" s="322" t="s">
        <v>1686</v>
      </c>
      <c r="I19" s="194" t="s">
        <v>1812</v>
      </c>
      <c r="J19" s="59">
        <v>25000</v>
      </c>
      <c r="K19" s="48"/>
      <c r="L19" s="48"/>
      <c r="M19" s="42"/>
      <c r="N19" s="42">
        <f t="shared" si="0"/>
        <v>25000</v>
      </c>
      <c r="O19" s="60" t="str">
        <f>IF(N19&lt;=[2]Datos!$G$7,"0",IF(N19&lt;=[2]Datos!$G$8,(N19-[2]Datos!$F$8)*[2]Datos!$I$6,IF(N19&lt;=[2]Datos!$G$9,[2]Datos!$I$8+(N19-[2]Datos!$F$9)*[2]Datos!$J$6,IF(N19&gt;=[2]Datos!$F$10,([2]Datos!$I$8+[2]Datos!$J$8)+(N19-[2]Datos!$F$10)*[2]Datos!$K$6))))</f>
        <v>0</v>
      </c>
      <c r="P19" s="42"/>
      <c r="Q19" s="42"/>
      <c r="R19" s="42"/>
      <c r="S19" s="42">
        <f t="shared" si="4"/>
        <v>0</v>
      </c>
      <c r="T19" s="42">
        <f t="shared" si="2"/>
        <v>25000</v>
      </c>
      <c r="U19" s="196">
        <v>23202286549</v>
      </c>
      <c r="V19" s="323">
        <v>45200</v>
      </c>
    </row>
    <row r="20" spans="1:22" x14ac:dyDescent="0.25">
      <c r="A20" s="194"/>
      <c r="B20" s="195">
        <v>14</v>
      </c>
      <c r="C20" s="195" t="s">
        <v>1403</v>
      </c>
      <c r="D20" s="194" t="s">
        <v>1404</v>
      </c>
      <c r="E20" s="194" t="s">
        <v>85</v>
      </c>
      <c r="F20" s="194" t="s">
        <v>88</v>
      </c>
      <c r="G20" s="195">
        <v>1</v>
      </c>
      <c r="H20" s="322" t="s">
        <v>1067</v>
      </c>
      <c r="I20" s="194" t="s">
        <v>829</v>
      </c>
      <c r="J20" s="59">
        <v>20000</v>
      </c>
      <c r="K20" s="48"/>
      <c r="L20" s="48"/>
      <c r="M20" s="42"/>
      <c r="N20" s="42">
        <f t="shared" si="0"/>
        <v>20000</v>
      </c>
      <c r="O20" s="60" t="str">
        <f>IF(N20&lt;=[2]Datos!$G$7,"0",IF(N20&lt;=[2]Datos!$G$8,(N20-[2]Datos!$F$8)*[2]Datos!$I$6,IF(N20&lt;=[2]Datos!$G$9,[2]Datos!$I$8+(N20-[2]Datos!$F$9)*[2]Datos!$J$6,IF(N20&gt;=[2]Datos!$F$10,([2]Datos!$I$8+[2]Datos!$J$8)+(N20-[2]Datos!$F$10)*[2]Datos!$K$6))))</f>
        <v>0</v>
      </c>
      <c r="P20" s="42"/>
      <c r="Q20" s="42"/>
      <c r="R20" s="42"/>
      <c r="S20" s="42">
        <f t="shared" si="4"/>
        <v>0</v>
      </c>
      <c r="T20" s="42">
        <f t="shared" si="2"/>
        <v>20000</v>
      </c>
      <c r="U20" s="196">
        <v>330215219</v>
      </c>
      <c r="V20" s="323">
        <v>45200</v>
      </c>
    </row>
    <row r="21" spans="1:22" x14ac:dyDescent="0.25">
      <c r="A21" s="194"/>
      <c r="B21" s="195">
        <v>15</v>
      </c>
      <c r="C21" s="195" t="s">
        <v>1483</v>
      </c>
      <c r="D21" s="194" t="s">
        <v>1480</v>
      </c>
      <c r="E21" s="194" t="s">
        <v>86</v>
      </c>
      <c r="F21" s="194" t="s">
        <v>88</v>
      </c>
      <c r="G21" s="195">
        <v>1</v>
      </c>
      <c r="H21" s="322" t="s">
        <v>1067</v>
      </c>
      <c r="I21" s="194" t="s">
        <v>829</v>
      </c>
      <c r="J21" s="59">
        <v>8500</v>
      </c>
      <c r="K21" s="48"/>
      <c r="L21" s="48"/>
      <c r="M21" s="42"/>
      <c r="N21" s="42">
        <f t="shared" si="0"/>
        <v>8500</v>
      </c>
      <c r="O21" s="60" t="str">
        <f>IF(N21&lt;=[2]Datos!$G$7,"0",IF(N21&lt;=[2]Datos!$G$8,(N21-[2]Datos!$F$8)*[2]Datos!$I$6,IF(N21&lt;=[2]Datos!$G$9,[2]Datos!$I$8+(N21-[2]Datos!$F$9)*[2]Datos!$J$6,IF(N21&gt;=[2]Datos!$F$10,([2]Datos!$I$8+[2]Datos!$J$8)+(N21-[2]Datos!$F$10)*[2]Datos!$K$6))))</f>
        <v>0</v>
      </c>
      <c r="P21" s="42"/>
      <c r="Q21" s="42"/>
      <c r="R21" s="42"/>
      <c r="S21" s="42">
        <f t="shared" si="4"/>
        <v>0</v>
      </c>
      <c r="T21" s="42">
        <f t="shared" si="2"/>
        <v>8500</v>
      </c>
      <c r="U21" s="196">
        <v>2320602864</v>
      </c>
      <c r="V21" s="323">
        <v>45323</v>
      </c>
    </row>
    <row r="22" spans="1:22" x14ac:dyDescent="0.25">
      <c r="A22" s="194"/>
      <c r="B22" s="195">
        <v>16</v>
      </c>
      <c r="C22" s="195" t="s">
        <v>1695</v>
      </c>
      <c r="D22" s="194" t="s">
        <v>1696</v>
      </c>
      <c r="E22" s="194" t="s">
        <v>86</v>
      </c>
      <c r="F22" s="194" t="s">
        <v>88</v>
      </c>
      <c r="G22" s="195">
        <v>1</v>
      </c>
      <c r="H22" s="322" t="s">
        <v>1686</v>
      </c>
      <c r="I22" s="194" t="s">
        <v>1532</v>
      </c>
      <c r="J22" s="59">
        <v>13000</v>
      </c>
      <c r="K22" s="48"/>
      <c r="L22" s="48"/>
      <c r="M22" s="42"/>
      <c r="N22" s="42">
        <f t="shared" si="0"/>
        <v>13000</v>
      </c>
      <c r="O22" s="60" t="str">
        <f>IF(N22&lt;=[2]Datos!$G$7,"0",IF(N22&lt;=[2]Datos!$G$8,(N22-[2]Datos!$F$8)*[2]Datos!$I$6,IF(N22&lt;=[2]Datos!$G$9,[2]Datos!$I$8+(N22-[2]Datos!$F$9)*[2]Datos!$J$6,IF(N22&gt;=[2]Datos!$F$10,([2]Datos!$I$8+[2]Datos!$J$8)+(N22-[2]Datos!$F$10)*[2]Datos!$K$6))))</f>
        <v>0</v>
      </c>
      <c r="P22" s="42"/>
      <c r="Q22" s="42"/>
      <c r="R22" s="42"/>
      <c r="S22" s="42">
        <f t="shared" si="4"/>
        <v>0</v>
      </c>
      <c r="T22" s="42">
        <f t="shared" si="2"/>
        <v>13000</v>
      </c>
      <c r="U22" s="196">
        <v>9604468492</v>
      </c>
      <c r="V22" s="323">
        <v>45536</v>
      </c>
    </row>
    <row r="23" spans="1:22" x14ac:dyDescent="0.25">
      <c r="A23" s="194"/>
      <c r="B23" s="195">
        <v>17</v>
      </c>
      <c r="C23" s="195" t="s">
        <v>365</v>
      </c>
      <c r="D23" s="194" t="s">
        <v>606</v>
      </c>
      <c r="E23" s="194" t="s">
        <v>86</v>
      </c>
      <c r="F23" s="194" t="s">
        <v>88</v>
      </c>
      <c r="G23" s="195">
        <v>1</v>
      </c>
      <c r="H23" s="322" t="s">
        <v>1061</v>
      </c>
      <c r="I23" s="194" t="s">
        <v>829</v>
      </c>
      <c r="J23" s="59">
        <v>10500</v>
      </c>
      <c r="K23" s="48"/>
      <c r="L23" s="48"/>
      <c r="M23" s="42"/>
      <c r="N23" s="42">
        <f t="shared" si="0"/>
        <v>10500</v>
      </c>
      <c r="O23" s="60" t="str">
        <f>IF(N23&lt;=[2]Datos!$G$7,"0",IF(N23&lt;=[2]Datos!$G$8,(N23-[2]Datos!$F$8)*[2]Datos!$I$6,IF(N23&lt;=[2]Datos!$G$9,[2]Datos!$I$8+(N23-[2]Datos!$F$9)*[2]Datos!$J$6,IF(N23&gt;=[2]Datos!$F$10,([2]Datos!$I$8+[2]Datos!$J$8)+(N23-[2]Datos!$F$10)*[2]Datos!$K$6))))</f>
        <v>0</v>
      </c>
      <c r="P23" s="42"/>
      <c r="Q23" s="42"/>
      <c r="R23" s="42"/>
      <c r="S23" s="42">
        <f t="shared" si="1"/>
        <v>0</v>
      </c>
      <c r="T23" s="42">
        <f t="shared" si="2"/>
        <v>10500</v>
      </c>
      <c r="U23" s="196" t="s">
        <v>125</v>
      </c>
      <c r="V23" s="323">
        <v>44197</v>
      </c>
    </row>
    <row r="24" spans="1:22" x14ac:dyDescent="0.25">
      <c r="A24" s="194"/>
      <c r="B24" s="195">
        <v>18</v>
      </c>
      <c r="C24" s="195" t="s">
        <v>1594</v>
      </c>
      <c r="D24" s="194" t="s">
        <v>1595</v>
      </c>
      <c r="E24" s="194" t="s">
        <v>86</v>
      </c>
      <c r="F24" s="194" t="s">
        <v>88</v>
      </c>
      <c r="G24" s="195">
        <v>1</v>
      </c>
      <c r="H24" s="322" t="s">
        <v>1060</v>
      </c>
      <c r="I24" s="194" t="s">
        <v>1532</v>
      </c>
      <c r="J24" s="59">
        <v>12000</v>
      </c>
      <c r="K24" s="48"/>
      <c r="L24" s="48"/>
      <c r="M24" s="42"/>
      <c r="N24" s="42">
        <f t="shared" si="0"/>
        <v>12000</v>
      </c>
      <c r="O24" s="60" t="str">
        <f>IF(N24&lt;=[2]Datos!$G$7,"0",IF(N24&lt;=[2]Datos!$G$8,(N24-[2]Datos!$F$8)*[2]Datos!$I$6,IF(N24&lt;=[2]Datos!$G$9,[2]Datos!$I$8+(N24-[2]Datos!$F$9)*[2]Datos!$J$6,IF(N24&gt;=[2]Datos!$F$10,([2]Datos!$I$8+[2]Datos!$J$8)+(N24-[2]Datos!$F$10)*[2]Datos!$K$6))))</f>
        <v>0</v>
      </c>
      <c r="P24" s="42"/>
      <c r="Q24" s="42"/>
      <c r="R24" s="42"/>
      <c r="S24" s="42">
        <f t="shared" si="1"/>
        <v>0</v>
      </c>
      <c r="T24" s="42">
        <f t="shared" si="2"/>
        <v>12000</v>
      </c>
      <c r="U24" s="196" t="s">
        <v>1596</v>
      </c>
      <c r="V24" s="323">
        <v>45505</v>
      </c>
    </row>
    <row r="25" spans="1:22" x14ac:dyDescent="0.25">
      <c r="A25" s="194"/>
      <c r="B25" s="195">
        <v>19</v>
      </c>
      <c r="C25" s="195" t="s">
        <v>381</v>
      </c>
      <c r="D25" s="194" t="s">
        <v>622</v>
      </c>
      <c r="E25" s="194" t="s">
        <v>86</v>
      </c>
      <c r="F25" s="194" t="s">
        <v>88</v>
      </c>
      <c r="G25" s="195">
        <v>1</v>
      </c>
      <c r="H25" s="322" t="s">
        <v>1060</v>
      </c>
      <c r="I25" s="194" t="s">
        <v>829</v>
      </c>
      <c r="J25" s="59">
        <v>14000</v>
      </c>
      <c r="K25" s="48"/>
      <c r="L25" s="48"/>
      <c r="M25" s="42"/>
      <c r="N25" s="42">
        <f t="shared" si="0"/>
        <v>14000</v>
      </c>
      <c r="O25" s="60" t="str">
        <f>IF(N25&lt;=[2]Datos!$G$7,"0",IF(N25&lt;=[2]Datos!$G$8,(N25-[2]Datos!$F$8)*[2]Datos!$I$6,IF(N25&lt;=[2]Datos!$G$9,[2]Datos!$I$8+(N25-[2]Datos!$F$9)*[2]Datos!$J$6,IF(N25&gt;=[2]Datos!$F$10,([2]Datos!$I$8+[2]Datos!$J$8)+(N25-[2]Datos!$F$10)*[2]Datos!$K$6))))</f>
        <v>0</v>
      </c>
      <c r="P25" s="42"/>
      <c r="Q25" s="42"/>
      <c r="R25" s="42"/>
      <c r="S25" s="42">
        <f t="shared" si="1"/>
        <v>0</v>
      </c>
      <c r="T25" s="42">
        <f t="shared" si="2"/>
        <v>14000</v>
      </c>
      <c r="U25" s="196" t="s">
        <v>141</v>
      </c>
      <c r="V25" s="323">
        <v>44197</v>
      </c>
    </row>
    <row r="26" spans="1:22" x14ac:dyDescent="0.25">
      <c r="A26" s="194"/>
      <c r="B26" s="195">
        <v>20</v>
      </c>
      <c r="C26" s="195" t="s">
        <v>1589</v>
      </c>
      <c r="D26" s="194" t="s">
        <v>1590</v>
      </c>
      <c r="E26" s="194" t="s">
        <v>86</v>
      </c>
      <c r="F26" s="194" t="s">
        <v>88</v>
      </c>
      <c r="G26" s="195">
        <v>1</v>
      </c>
      <c r="H26" s="322" t="s">
        <v>1061</v>
      </c>
      <c r="I26" s="194" t="s">
        <v>1532</v>
      </c>
      <c r="J26" s="59">
        <v>8500</v>
      </c>
      <c r="K26" s="48"/>
      <c r="L26" s="48"/>
      <c r="M26" s="42"/>
      <c r="N26" s="42">
        <f t="shared" si="0"/>
        <v>8500</v>
      </c>
      <c r="O26" s="60" t="str">
        <f>IF(N26&lt;=[2]Datos!$G$7,"0",IF(N26&lt;=[2]Datos!$G$8,(N26-[2]Datos!$F$8)*[2]Datos!$I$6,IF(N26&lt;=[2]Datos!$G$9,[2]Datos!$I$8+(N26-[2]Datos!$F$9)*[2]Datos!$J$6,IF(N26&gt;=[2]Datos!$F$10,([2]Datos!$I$8+[2]Datos!$J$8)+(N26-[2]Datos!$F$10)*[2]Datos!$K$6))))</f>
        <v>0</v>
      </c>
      <c r="P26" s="42"/>
      <c r="Q26" s="42"/>
      <c r="R26" s="42"/>
      <c r="S26" s="42">
        <f t="shared" si="1"/>
        <v>0</v>
      </c>
      <c r="T26" s="42">
        <f t="shared" si="2"/>
        <v>8500</v>
      </c>
      <c r="U26" s="196">
        <v>2000783440</v>
      </c>
      <c r="V26" s="323">
        <v>45474</v>
      </c>
    </row>
    <row r="27" spans="1:22" x14ac:dyDescent="0.25">
      <c r="A27" s="194"/>
      <c r="B27" s="195">
        <v>21</v>
      </c>
      <c r="C27" s="195" t="s">
        <v>1530</v>
      </c>
      <c r="D27" s="194" t="s">
        <v>1531</v>
      </c>
      <c r="E27" s="194" t="s">
        <v>86</v>
      </c>
      <c r="F27" s="194" t="s">
        <v>88</v>
      </c>
      <c r="G27" s="310">
        <v>1</v>
      </c>
      <c r="H27" s="322" t="s">
        <v>1060</v>
      </c>
      <c r="I27" s="194" t="s">
        <v>1532</v>
      </c>
      <c r="J27" s="59">
        <v>10500</v>
      </c>
      <c r="K27" s="48"/>
      <c r="L27" s="48"/>
      <c r="M27" s="42"/>
      <c r="N27" s="42">
        <f t="shared" si="0"/>
        <v>10500</v>
      </c>
      <c r="O27" s="60" t="str">
        <f>IF(N27&lt;=[2]Datos!$G$7,"0",IF(N27&lt;=[2]Datos!$G$8,(N27-[2]Datos!$F$8)*[2]Datos!$I$6,IF(N27&lt;=[2]Datos!$G$9,[2]Datos!$I$8+(N27-[2]Datos!$F$9)*[2]Datos!$J$6,IF(N27&gt;=[2]Datos!$F$10,([2]Datos!$I$8+[2]Datos!$J$8)+(N27-[2]Datos!$F$10)*[2]Datos!$K$6))))</f>
        <v>0</v>
      </c>
      <c r="P27" s="42"/>
      <c r="Q27" s="42"/>
      <c r="R27" s="42"/>
      <c r="S27" s="42">
        <f t="shared" si="1"/>
        <v>0</v>
      </c>
      <c r="T27" s="42">
        <f t="shared" si="2"/>
        <v>10500</v>
      </c>
      <c r="U27" s="196">
        <v>2401024098</v>
      </c>
      <c r="V27" s="323">
        <v>45383</v>
      </c>
    </row>
    <row r="28" spans="1:22" x14ac:dyDescent="0.25">
      <c r="A28" s="194"/>
      <c r="B28" s="195">
        <v>22</v>
      </c>
      <c r="C28" s="195" t="s">
        <v>383</v>
      </c>
      <c r="D28" s="194" t="s">
        <v>624</v>
      </c>
      <c r="E28" s="194" t="s">
        <v>86</v>
      </c>
      <c r="F28" s="194" t="s">
        <v>88</v>
      </c>
      <c r="G28" s="310">
        <v>1</v>
      </c>
      <c r="H28" s="324" t="s">
        <v>1061</v>
      </c>
      <c r="I28" s="194" t="s">
        <v>829</v>
      </c>
      <c r="J28" s="59">
        <v>8500</v>
      </c>
      <c r="K28" s="48"/>
      <c r="L28" s="48"/>
      <c r="M28" s="42"/>
      <c r="N28" s="42">
        <f t="shared" si="0"/>
        <v>8500</v>
      </c>
      <c r="O28" s="60" t="str">
        <f>IF(N28&lt;=[2]Datos!$G$7,"0",IF(N28&lt;=[2]Datos!$G$8,(N28-[2]Datos!$F$8)*[2]Datos!$I$6,IF(N28&lt;=[2]Datos!$G$9,[2]Datos!$I$8+(N28-[2]Datos!$F$9)*[2]Datos!$J$6,IF(N28&gt;=[2]Datos!$F$10,([2]Datos!$I$8+[2]Datos!$J$8)+(N28-[2]Datos!$F$10)*[2]Datos!$K$6))))</f>
        <v>0</v>
      </c>
      <c r="P28" s="42"/>
      <c r="Q28" s="42"/>
      <c r="R28" s="42"/>
      <c r="S28" s="42">
        <f t="shared" si="1"/>
        <v>0</v>
      </c>
      <c r="T28" s="42">
        <f t="shared" si="2"/>
        <v>8500</v>
      </c>
      <c r="U28" s="196" t="s">
        <v>143</v>
      </c>
      <c r="V28" s="323">
        <v>44197</v>
      </c>
    </row>
    <row r="29" spans="1:22" x14ac:dyDescent="0.25">
      <c r="A29" s="194"/>
      <c r="B29" s="195">
        <v>23</v>
      </c>
      <c r="C29" s="195" t="s">
        <v>1936</v>
      </c>
      <c r="D29" s="194" t="s">
        <v>1937</v>
      </c>
      <c r="E29" s="194" t="s">
        <v>86</v>
      </c>
      <c r="F29" s="194" t="s">
        <v>88</v>
      </c>
      <c r="G29" s="310">
        <v>1</v>
      </c>
      <c r="H29" s="324" t="s">
        <v>1686</v>
      </c>
      <c r="I29" s="194" t="s">
        <v>1532</v>
      </c>
      <c r="J29" s="59">
        <v>13000</v>
      </c>
      <c r="K29" s="48"/>
      <c r="L29" s="48"/>
      <c r="M29" s="42"/>
      <c r="N29" s="42">
        <f t="shared" si="0"/>
        <v>13000</v>
      </c>
      <c r="O29" s="60" t="str">
        <f>IF(N29&lt;=[2]Datos!$G$7,"0",IF(N29&lt;=[2]Datos!$G$8,(N29-[2]Datos!$F$8)*[2]Datos!$I$6,IF(N29&lt;=[2]Datos!$G$9,[2]Datos!$I$8+(N29-[2]Datos!$F$9)*[2]Datos!$J$6,IF(N29&gt;=[2]Datos!$F$10,([2]Datos!$I$8+[2]Datos!$J$8)+(N29-[2]Datos!$F$10)*[2]Datos!$K$6))))</f>
        <v>0</v>
      </c>
      <c r="P29" s="42"/>
      <c r="Q29" s="42"/>
      <c r="R29" s="42"/>
      <c r="S29" s="42">
        <f t="shared" si="1"/>
        <v>0</v>
      </c>
      <c r="T29" s="42">
        <f t="shared" si="2"/>
        <v>13000</v>
      </c>
      <c r="U29" s="196">
        <v>9603036632</v>
      </c>
      <c r="V29" s="323">
        <v>45627</v>
      </c>
    </row>
    <row r="30" spans="1:22" x14ac:dyDescent="0.25">
      <c r="A30" s="194"/>
      <c r="B30" s="195">
        <v>24</v>
      </c>
      <c r="C30" s="195" t="s">
        <v>1591</v>
      </c>
      <c r="D30" s="194" t="s">
        <v>1592</v>
      </c>
      <c r="E30" s="194" t="s">
        <v>86</v>
      </c>
      <c r="F30" s="194" t="s">
        <v>88</v>
      </c>
      <c r="G30" s="310">
        <v>1</v>
      </c>
      <c r="H30" s="324" t="s">
        <v>1060</v>
      </c>
      <c r="I30" s="194" t="s">
        <v>1532</v>
      </c>
      <c r="J30" s="59">
        <v>13000</v>
      </c>
      <c r="K30" s="48"/>
      <c r="L30" s="48"/>
      <c r="M30" s="42"/>
      <c r="N30" s="42">
        <f t="shared" si="0"/>
        <v>13000</v>
      </c>
      <c r="O30" s="60" t="str">
        <f>IF(N30&lt;=[2]Datos!$G$7,"0",IF(N30&lt;=[2]Datos!$G$8,(N30-[2]Datos!$F$8)*[2]Datos!$I$6,IF(N30&lt;=[2]Datos!$G$9,[2]Datos!$I$8+(N30-[2]Datos!$F$9)*[2]Datos!$J$6,IF(N30&gt;=[2]Datos!$F$10,([2]Datos!$I$8+[2]Datos!$J$8)+(N30-[2]Datos!$F$10)*[2]Datos!$K$6))))</f>
        <v>0</v>
      </c>
      <c r="P30" s="42"/>
      <c r="Q30" s="42"/>
      <c r="R30" s="42"/>
      <c r="S30" s="42">
        <f t="shared" si="1"/>
        <v>0</v>
      </c>
      <c r="T30" s="42">
        <f t="shared" si="2"/>
        <v>13000</v>
      </c>
      <c r="U30" s="196">
        <v>5800358150</v>
      </c>
      <c r="V30" s="323">
        <v>45474</v>
      </c>
    </row>
    <row r="31" spans="1:22" x14ac:dyDescent="0.25">
      <c r="A31" s="194"/>
      <c r="B31" s="195">
        <v>25</v>
      </c>
      <c r="C31" s="195" t="s">
        <v>1528</v>
      </c>
      <c r="D31" s="194" t="s">
        <v>1529</v>
      </c>
      <c r="E31" s="194" t="s">
        <v>86</v>
      </c>
      <c r="F31" s="194" t="s">
        <v>88</v>
      </c>
      <c r="G31" s="310">
        <v>1</v>
      </c>
      <c r="H31" s="324" t="s">
        <v>1067</v>
      </c>
      <c r="I31" s="194" t="s">
        <v>1532</v>
      </c>
      <c r="J31" s="59">
        <v>10500</v>
      </c>
      <c r="K31" s="48"/>
      <c r="L31" s="48"/>
      <c r="M31" s="42"/>
      <c r="N31" s="42">
        <f t="shared" si="0"/>
        <v>10500</v>
      </c>
      <c r="O31" s="60" t="str">
        <f>IF(N31&lt;=[2]Datos!$G$7,"0",IF(N31&lt;=[2]Datos!$G$8,(N31-[2]Datos!$F$8)*[2]Datos!$I$6,IF(N31&lt;=[2]Datos!$G$9,[2]Datos!$I$8+(N31-[2]Datos!$F$9)*[2]Datos!$J$6,IF(N31&gt;=[2]Datos!$F$10,([2]Datos!$I$8+[2]Datos!$J$8)+(N31-[2]Datos!$F$10)*[2]Datos!$K$6))))</f>
        <v>0</v>
      </c>
      <c r="P31" s="42"/>
      <c r="Q31" s="42"/>
      <c r="R31" s="42"/>
      <c r="S31" s="42">
        <f t="shared" si="1"/>
        <v>0</v>
      </c>
      <c r="T31" s="42">
        <f t="shared" si="2"/>
        <v>10500</v>
      </c>
      <c r="U31" s="196">
        <v>5800401599</v>
      </c>
      <c r="V31" s="323">
        <v>45383</v>
      </c>
    </row>
    <row r="32" spans="1:22" x14ac:dyDescent="0.25">
      <c r="A32" s="194"/>
      <c r="B32" s="195">
        <v>26</v>
      </c>
      <c r="C32" s="195" t="s">
        <v>398</v>
      </c>
      <c r="D32" s="194" t="s">
        <v>639</v>
      </c>
      <c r="E32" s="194" t="s">
        <v>86</v>
      </c>
      <c r="F32" s="194" t="s">
        <v>88</v>
      </c>
      <c r="G32" s="195">
        <v>1</v>
      </c>
      <c r="H32" s="108" t="s">
        <v>1060</v>
      </c>
      <c r="I32" s="194" t="s">
        <v>842</v>
      </c>
      <c r="J32" s="59">
        <v>25000</v>
      </c>
      <c r="K32" s="48"/>
      <c r="L32" s="48"/>
      <c r="M32" s="42"/>
      <c r="N32" s="42">
        <f t="shared" si="0"/>
        <v>25000</v>
      </c>
      <c r="O32" s="60" t="str">
        <f>IF(N32&lt;=[2]Datos!$G$7,"0",IF(N32&lt;=[2]Datos!$G$8,(N32-[2]Datos!$F$8)*[2]Datos!$I$6,IF(N32&lt;=[2]Datos!$G$9,[2]Datos!$I$8+(N32-[2]Datos!$F$9)*[2]Datos!$J$6,IF(N32&gt;=[2]Datos!$F$10,([2]Datos!$I$8+[2]Datos!$J$8)+(N32-[2]Datos!$F$10)*[2]Datos!$K$6))))</f>
        <v>0</v>
      </c>
      <c r="P32" s="42"/>
      <c r="Q32" s="42"/>
      <c r="R32" s="42"/>
      <c r="S32" s="42">
        <f t="shared" si="1"/>
        <v>0</v>
      </c>
      <c r="T32" s="42">
        <f t="shared" si="2"/>
        <v>25000</v>
      </c>
      <c r="U32" s="196" t="s">
        <v>158</v>
      </c>
      <c r="V32" s="323">
        <v>44197</v>
      </c>
    </row>
    <row r="33" spans="1:22" x14ac:dyDescent="0.25">
      <c r="A33" s="194"/>
      <c r="B33" s="195">
        <v>27</v>
      </c>
      <c r="C33" s="195" t="s">
        <v>1401</v>
      </c>
      <c r="D33" s="194" t="s">
        <v>1402</v>
      </c>
      <c r="E33" s="194" t="s">
        <v>86</v>
      </c>
      <c r="F33" s="194" t="s">
        <v>88</v>
      </c>
      <c r="G33" s="195">
        <v>1</v>
      </c>
      <c r="H33" s="108" t="s">
        <v>1067</v>
      </c>
      <c r="I33" s="194" t="s">
        <v>829</v>
      </c>
      <c r="J33" s="59">
        <v>12000</v>
      </c>
      <c r="K33" s="48"/>
      <c r="L33" s="48"/>
      <c r="M33" s="42"/>
      <c r="N33" s="42">
        <f t="shared" si="0"/>
        <v>12000</v>
      </c>
      <c r="O33" s="60" t="str">
        <f>IF(N33&lt;=[2]Datos!$G$7,"0",IF(N33&lt;=[2]Datos!$G$8,(N33-[2]Datos!$F$8)*[2]Datos!$I$6,IF(N33&lt;=[2]Datos!$G$9,[2]Datos!$I$8+(N33-[2]Datos!$F$9)*[2]Datos!$J$6,IF(N33&gt;=[2]Datos!$F$10,([2]Datos!$I$8+[2]Datos!$J$8)+(N33-[2]Datos!$F$10)*[2]Datos!$K$6))))</f>
        <v>0</v>
      </c>
      <c r="P33" s="42"/>
      <c r="Q33" s="42"/>
      <c r="R33" s="42"/>
      <c r="S33" s="42">
        <f t="shared" si="1"/>
        <v>0</v>
      </c>
      <c r="T33" s="42">
        <f t="shared" si="2"/>
        <v>12000</v>
      </c>
      <c r="U33" s="196">
        <v>520158350</v>
      </c>
      <c r="V33" s="323">
        <v>45200</v>
      </c>
    </row>
    <row r="34" spans="1:22" x14ac:dyDescent="0.25">
      <c r="A34" s="194"/>
      <c r="B34" s="195">
        <v>28</v>
      </c>
      <c r="C34" s="195" t="s">
        <v>1693</v>
      </c>
      <c r="D34" s="194" t="s">
        <v>1694</v>
      </c>
      <c r="E34" s="194" t="s">
        <v>86</v>
      </c>
      <c r="F34" s="194" t="s">
        <v>88</v>
      </c>
      <c r="G34" s="195">
        <v>1</v>
      </c>
      <c r="H34" s="108" t="s">
        <v>1686</v>
      </c>
      <c r="I34" s="194" t="s">
        <v>1532</v>
      </c>
      <c r="J34" s="59">
        <v>13000</v>
      </c>
      <c r="K34" s="48"/>
      <c r="L34" s="48"/>
      <c r="M34" s="42"/>
      <c r="N34" s="42">
        <f t="shared" si="0"/>
        <v>13000</v>
      </c>
      <c r="O34" s="60" t="str">
        <f>IF(N34&lt;=[2]Datos!$G$7,"0",IF(N34&lt;=[2]Datos!$G$8,(N34-[2]Datos!$F$8)*[2]Datos!$I$6,IF(N34&lt;=[2]Datos!$G$9,[2]Datos!$I$8+(N34-[2]Datos!$F$9)*[2]Datos!$J$6,IF(N34&gt;=[2]Datos!$F$10,([2]Datos!$I$8+[2]Datos!$J$8)+(N34-[2]Datos!$F$10)*[2]Datos!$K$6))))</f>
        <v>0</v>
      </c>
      <c r="P34" s="42"/>
      <c r="Q34" s="42"/>
      <c r="R34" s="42"/>
      <c r="S34" s="42">
        <f t="shared" si="1"/>
        <v>0</v>
      </c>
      <c r="T34" s="42">
        <f t="shared" si="2"/>
        <v>13000</v>
      </c>
      <c r="U34" s="196">
        <v>9607254489</v>
      </c>
      <c r="V34" s="323">
        <v>45536</v>
      </c>
    </row>
    <row r="35" spans="1:22" x14ac:dyDescent="0.25">
      <c r="A35" s="194"/>
      <c r="B35" s="195">
        <v>29</v>
      </c>
      <c r="C35" s="195" t="s">
        <v>409</v>
      </c>
      <c r="D35" s="194" t="s">
        <v>650</v>
      </c>
      <c r="E35" s="194" t="s">
        <v>86</v>
      </c>
      <c r="F35" s="194" t="s">
        <v>88</v>
      </c>
      <c r="G35" s="195">
        <v>1</v>
      </c>
      <c r="H35" s="108" t="s">
        <v>1060</v>
      </c>
      <c r="I35" s="194" t="s">
        <v>829</v>
      </c>
      <c r="J35" s="59">
        <v>10500</v>
      </c>
      <c r="K35" s="48"/>
      <c r="L35" s="48"/>
      <c r="M35" s="42"/>
      <c r="N35" s="42">
        <f t="shared" si="0"/>
        <v>10500</v>
      </c>
      <c r="O35" s="60" t="str">
        <f>IF(N35&lt;=[2]Datos!$G$7,"0",IF(N35&lt;=[2]Datos!$G$8,(N35-[2]Datos!$F$8)*[2]Datos!$I$6,IF(N35&lt;=[2]Datos!$G$9,[2]Datos!$I$8+(N35-[2]Datos!$F$9)*[2]Datos!$J$6,IF(N35&gt;=[2]Datos!$F$10,([2]Datos!$I$8+[2]Datos!$J$8)+(N35-[2]Datos!$F$10)*[2]Datos!$K$6))))</f>
        <v>0</v>
      </c>
      <c r="P35" s="42"/>
      <c r="Q35" s="42"/>
      <c r="R35" s="42"/>
      <c r="S35" s="42">
        <f t="shared" si="1"/>
        <v>0</v>
      </c>
      <c r="T35" s="42">
        <f t="shared" si="2"/>
        <v>10500</v>
      </c>
      <c r="U35" s="196" t="s">
        <v>169</v>
      </c>
      <c r="V35" s="323">
        <v>44013</v>
      </c>
    </row>
    <row r="36" spans="1:22" x14ac:dyDescent="0.25">
      <c r="A36" s="194"/>
      <c r="B36" s="195">
        <v>30</v>
      </c>
      <c r="C36" s="195" t="s">
        <v>412</v>
      </c>
      <c r="D36" s="194" t="s">
        <v>653</v>
      </c>
      <c r="E36" s="194" t="s">
        <v>86</v>
      </c>
      <c r="F36" s="194" t="s">
        <v>88</v>
      </c>
      <c r="G36" s="195">
        <v>1</v>
      </c>
      <c r="H36" s="108" t="s">
        <v>1067</v>
      </c>
      <c r="I36" s="194" t="s">
        <v>1415</v>
      </c>
      <c r="J36" s="59">
        <v>40000</v>
      </c>
      <c r="K36" s="48"/>
      <c r="L36" s="48"/>
      <c r="M36" s="42"/>
      <c r="N36" s="42">
        <v>40000</v>
      </c>
      <c r="O36" s="60">
        <f>IF(N36&lt;=[2]Datos!$G$7,"0",IF(N36&lt;=[2]Datos!$G$8,(N36-[2]Datos!$F$8)*[2]Datos!$I$6,IF(N36&lt;=[2]Datos!$G$9,[2]Datos!$I$8+(N36-[2]Datos!$F$9)*[2]Datos!$J$6,IF(N36&gt;=[2]Datos!$F$10,([2]Datos!$I$8+[2]Datos!$J$8)+(N36-[2]Datos!$F$10)*[2]Datos!$K$6))))</f>
        <v>797.24849999999969</v>
      </c>
      <c r="P36" s="42"/>
      <c r="Q36" s="42"/>
      <c r="R36" s="42"/>
      <c r="S36" s="42">
        <f t="shared" si="1"/>
        <v>797.24849999999969</v>
      </c>
      <c r="T36" s="42">
        <f t="shared" si="2"/>
        <v>39202.751499999998</v>
      </c>
      <c r="U36" s="196" t="s">
        <v>172</v>
      </c>
      <c r="V36" s="323">
        <v>44197</v>
      </c>
    </row>
    <row r="37" spans="1:22" x14ac:dyDescent="0.25">
      <c r="A37" s="194"/>
      <c r="B37" s="195">
        <v>31</v>
      </c>
      <c r="C37" s="195" t="s">
        <v>415</v>
      </c>
      <c r="D37" s="194" t="s">
        <v>656</v>
      </c>
      <c r="E37" s="194" t="s">
        <v>85</v>
      </c>
      <c r="F37" s="194" t="s">
        <v>88</v>
      </c>
      <c r="G37" s="310">
        <v>1</v>
      </c>
      <c r="H37" s="324" t="s">
        <v>1061</v>
      </c>
      <c r="I37" s="194" t="s">
        <v>829</v>
      </c>
      <c r="J37" s="59">
        <v>30000</v>
      </c>
      <c r="K37" s="48"/>
      <c r="L37" s="48"/>
      <c r="M37" s="42"/>
      <c r="N37" s="42">
        <f t="shared" si="0"/>
        <v>30000</v>
      </c>
      <c r="O37" s="60" t="str">
        <f>IF(N37&lt;=[2]Datos!$G$7,"0",IF(N37&lt;=[2]Datos!$G$8,(N37-[2]Datos!$F$8)*[2]Datos!$I$6,IF(N37&lt;=[2]Datos!$G$9,[2]Datos!$I$8+(N37-[2]Datos!$F$9)*[2]Datos!$J$6,IF(N37&gt;=[2]Datos!$F$10,([2]Datos!$I$8+[2]Datos!$J$8)+(N37-[2]Datos!$F$10)*[2]Datos!$K$6))))</f>
        <v>0</v>
      </c>
      <c r="P37" s="42"/>
      <c r="Q37" s="42"/>
      <c r="R37" s="42"/>
      <c r="S37" s="42">
        <f t="shared" si="1"/>
        <v>0</v>
      </c>
      <c r="T37" s="42">
        <f t="shared" si="2"/>
        <v>30000</v>
      </c>
      <c r="U37" s="196" t="s">
        <v>175</v>
      </c>
      <c r="V37" s="323">
        <v>44197</v>
      </c>
    </row>
    <row r="38" spans="1:22" x14ac:dyDescent="0.25">
      <c r="A38" s="194"/>
      <c r="B38" s="195">
        <v>32</v>
      </c>
      <c r="C38" s="195" t="s">
        <v>1570</v>
      </c>
      <c r="D38" s="194" t="s">
        <v>1571</v>
      </c>
      <c r="E38" s="194" t="s">
        <v>85</v>
      </c>
      <c r="F38" s="194" t="s">
        <v>88</v>
      </c>
      <c r="G38" s="310">
        <v>1</v>
      </c>
      <c r="H38" s="324" t="s">
        <v>1061</v>
      </c>
      <c r="I38" s="194" t="s">
        <v>829</v>
      </c>
      <c r="J38" s="59">
        <v>8500</v>
      </c>
      <c r="K38" s="48"/>
      <c r="L38" s="48"/>
      <c r="M38" s="42"/>
      <c r="N38" s="42">
        <f t="shared" si="0"/>
        <v>8500</v>
      </c>
      <c r="O38" s="60" t="str">
        <f>IF(N38&lt;=[2]Datos!$G$7,"0",IF(N38&lt;=[2]Datos!$G$8,(N38-[2]Datos!$F$8)*[2]Datos!$I$6,IF(N38&lt;=[2]Datos!$G$9,[2]Datos!$I$8+(N38-[2]Datos!$F$9)*[2]Datos!$J$6,IF(N38&gt;=[2]Datos!$F$10,([2]Datos!$I$8+[2]Datos!$J$8)+(N38-[2]Datos!$F$10)*[2]Datos!$K$6))))</f>
        <v>0</v>
      </c>
      <c r="P38" s="42"/>
      <c r="Q38" s="42"/>
      <c r="R38" s="42"/>
      <c r="S38" s="42">
        <f t="shared" si="1"/>
        <v>0</v>
      </c>
      <c r="T38" s="42">
        <f t="shared" si="2"/>
        <v>8500</v>
      </c>
      <c r="U38" s="196" t="s">
        <v>1572</v>
      </c>
      <c r="V38" s="323">
        <v>45444</v>
      </c>
    </row>
    <row r="39" spans="1:22" x14ac:dyDescent="0.25">
      <c r="A39" s="194"/>
      <c r="B39" s="195">
        <v>33</v>
      </c>
      <c r="C39" s="195" t="s">
        <v>1697</v>
      </c>
      <c r="D39" s="194" t="s">
        <v>1698</v>
      </c>
      <c r="E39" s="194" t="s">
        <v>86</v>
      </c>
      <c r="F39" s="194" t="s">
        <v>88</v>
      </c>
      <c r="G39" s="310">
        <v>1</v>
      </c>
      <c r="H39" s="324" t="s">
        <v>1061</v>
      </c>
      <c r="I39" s="194" t="s">
        <v>1532</v>
      </c>
      <c r="J39" s="59">
        <v>13000</v>
      </c>
      <c r="K39" s="48"/>
      <c r="L39" s="48"/>
      <c r="M39" s="42"/>
      <c r="N39" s="42">
        <f t="shared" si="0"/>
        <v>13000</v>
      </c>
      <c r="O39" s="60" t="str">
        <f>IF(N39&lt;=[2]Datos!$G$7,"0",IF(N39&lt;=[2]Datos!$G$8,(N39-[2]Datos!$F$8)*[2]Datos!$I$6,IF(N39&lt;=[2]Datos!$G$9,[2]Datos!$I$8+(N39-[2]Datos!$F$9)*[2]Datos!$J$6,IF(N39&gt;=[2]Datos!$F$10,([2]Datos!$I$8+[2]Datos!$J$8)+(N39-[2]Datos!$F$10)*[2]Datos!$K$6))))</f>
        <v>0</v>
      </c>
      <c r="P39" s="42"/>
      <c r="Q39" s="42"/>
      <c r="R39" s="42"/>
      <c r="S39" s="42">
        <f t="shared" si="1"/>
        <v>0</v>
      </c>
      <c r="T39" s="42">
        <f t="shared" si="2"/>
        <v>13000</v>
      </c>
      <c r="U39" s="196">
        <v>1300830063</v>
      </c>
      <c r="V39" s="323">
        <v>45536</v>
      </c>
    </row>
    <row r="40" spans="1:22" x14ac:dyDescent="0.25">
      <c r="A40" s="194"/>
      <c r="B40" s="195">
        <v>34</v>
      </c>
      <c r="C40" s="195" t="s">
        <v>1817</v>
      </c>
      <c r="D40" s="194" t="s">
        <v>1818</v>
      </c>
      <c r="E40" s="194" t="s">
        <v>86</v>
      </c>
      <c r="F40" s="194" t="s">
        <v>88</v>
      </c>
      <c r="G40" s="310">
        <v>1</v>
      </c>
      <c r="H40" s="324" t="s">
        <v>1067</v>
      </c>
      <c r="I40" s="194" t="s">
        <v>1532</v>
      </c>
      <c r="J40" s="59">
        <v>13000</v>
      </c>
      <c r="K40" s="48"/>
      <c r="L40" s="48"/>
      <c r="M40" s="42"/>
      <c r="N40" s="42">
        <f t="shared" si="0"/>
        <v>13000</v>
      </c>
      <c r="O40" s="60" t="str">
        <f>IF(N40&lt;=[2]Datos!$G$7,"0",IF(N40&lt;=[2]Datos!$G$8,(N40-[2]Datos!$F$8)*[2]Datos!$I$6,IF(N40&lt;=[2]Datos!$G$9,[2]Datos!$I$8+(N40-[2]Datos!$F$9)*[2]Datos!$J$6,IF(N40&gt;=[2]Datos!$F$10,([2]Datos!$I$8+[2]Datos!$J$8)+(N40-[2]Datos!$F$10)*[2]Datos!$K$6))))</f>
        <v>0</v>
      </c>
      <c r="P40" s="42"/>
      <c r="Q40" s="42"/>
      <c r="R40" s="42"/>
      <c r="S40" s="42">
        <f t="shared" si="1"/>
        <v>0</v>
      </c>
      <c r="T40" s="42">
        <f t="shared" si="2"/>
        <v>13000</v>
      </c>
      <c r="U40" s="196">
        <v>9603702415</v>
      </c>
      <c r="V40" s="323">
        <v>45597</v>
      </c>
    </row>
    <row r="41" spans="1:22" x14ac:dyDescent="0.25">
      <c r="A41" s="194"/>
      <c r="B41" s="195">
        <v>35</v>
      </c>
      <c r="C41" s="195" t="s">
        <v>1823</v>
      </c>
      <c r="D41" s="194" t="s">
        <v>1824</v>
      </c>
      <c r="E41" s="194" t="s">
        <v>86</v>
      </c>
      <c r="F41" s="194" t="s">
        <v>88</v>
      </c>
      <c r="G41" s="310">
        <v>1</v>
      </c>
      <c r="H41" s="324" t="s">
        <v>1061</v>
      </c>
      <c r="I41" s="194" t="s">
        <v>1532</v>
      </c>
      <c r="J41" s="59">
        <v>13000</v>
      </c>
      <c r="K41" s="48"/>
      <c r="L41" s="48"/>
      <c r="M41" s="42"/>
      <c r="N41" s="42">
        <f t="shared" si="0"/>
        <v>13000</v>
      </c>
      <c r="O41" s="60" t="str">
        <f>IF(N41&lt;=[2]Datos!$G$7,"0",IF(N41&lt;=[2]Datos!$G$8,(N41-[2]Datos!$F$8)*[2]Datos!$I$6,IF(N41&lt;=[2]Datos!$G$9,[2]Datos!$I$8+(N41-[2]Datos!$F$9)*[2]Datos!$J$6,IF(N41&gt;=[2]Datos!$F$10,([2]Datos!$I$8+[2]Datos!$J$8)+(N41-[2]Datos!$F$10)*[2]Datos!$K$6))))</f>
        <v>0</v>
      </c>
      <c r="P41" s="42"/>
      <c r="Q41" s="42"/>
      <c r="R41" s="42"/>
      <c r="S41" s="42"/>
      <c r="T41" s="42">
        <f t="shared" si="2"/>
        <v>13000</v>
      </c>
      <c r="U41" s="196">
        <v>9606480797</v>
      </c>
      <c r="V41" s="323">
        <v>45597</v>
      </c>
    </row>
    <row r="42" spans="1:22" x14ac:dyDescent="0.25">
      <c r="A42" s="194"/>
      <c r="B42" s="195">
        <v>36</v>
      </c>
      <c r="C42" s="195" t="s">
        <v>1819</v>
      </c>
      <c r="D42" s="194" t="s">
        <v>1820</v>
      </c>
      <c r="E42" s="194" t="s">
        <v>86</v>
      </c>
      <c r="F42" s="194" t="s">
        <v>88</v>
      </c>
      <c r="G42" s="310">
        <v>1</v>
      </c>
      <c r="H42" s="324" t="s">
        <v>1710</v>
      </c>
      <c r="I42" s="194" t="s">
        <v>1532</v>
      </c>
      <c r="J42" s="59">
        <v>13000</v>
      </c>
      <c r="K42" s="48"/>
      <c r="L42" s="48"/>
      <c r="M42" s="42"/>
      <c r="N42" s="42">
        <f t="shared" si="0"/>
        <v>13000</v>
      </c>
      <c r="O42" s="60" t="str">
        <f>IF(N42&lt;=[2]Datos!$G$7,"0",IF(N42&lt;=[2]Datos!$G$8,(N42-[2]Datos!$F$8)*[2]Datos!$I$6,IF(N42&lt;=[2]Datos!$G$9,[2]Datos!$I$8+(N42-[2]Datos!$F$9)*[2]Datos!$J$6,IF(N42&gt;=[2]Datos!$F$10,([2]Datos!$I$8+[2]Datos!$J$8)+(N42-[2]Datos!$F$10)*[2]Datos!$K$6))))</f>
        <v>0</v>
      </c>
      <c r="P42" s="42"/>
      <c r="Q42" s="42"/>
      <c r="R42" s="42"/>
      <c r="S42" s="42">
        <f t="shared" si="1"/>
        <v>0</v>
      </c>
      <c r="T42" s="42">
        <f t="shared" si="2"/>
        <v>13000</v>
      </c>
      <c r="U42" s="196">
        <v>9600010661</v>
      </c>
      <c r="V42" s="323">
        <v>45597</v>
      </c>
    </row>
    <row r="43" spans="1:22" x14ac:dyDescent="0.25">
      <c r="A43" s="194"/>
      <c r="B43" s="195">
        <v>37</v>
      </c>
      <c r="C43" s="195" t="s">
        <v>1762</v>
      </c>
      <c r="D43" s="194" t="s">
        <v>1767</v>
      </c>
      <c r="E43" s="194" t="s">
        <v>86</v>
      </c>
      <c r="F43" s="194" t="s">
        <v>88</v>
      </c>
      <c r="G43" s="310">
        <v>1</v>
      </c>
      <c r="H43" s="324" t="s">
        <v>1710</v>
      </c>
      <c r="I43" s="194" t="s">
        <v>1532</v>
      </c>
      <c r="J43" s="59">
        <v>13000</v>
      </c>
      <c r="K43" s="48"/>
      <c r="L43" s="48"/>
      <c r="M43" s="42"/>
      <c r="N43" s="42">
        <f t="shared" si="0"/>
        <v>13000</v>
      </c>
      <c r="O43" s="60" t="str">
        <f>IF(N43&lt;=[2]Datos!$G$7,"0",IF(N43&lt;=[2]Datos!$G$8,(N43-[2]Datos!$F$8)*[2]Datos!$I$6,IF(N43&lt;=[2]Datos!$G$9,[2]Datos!$I$8+(N43-[2]Datos!$F$9)*[2]Datos!$J$6,IF(N43&gt;=[2]Datos!$F$10,([2]Datos!$I$8+[2]Datos!$J$8)+(N43-[2]Datos!$F$10)*[2]Datos!$K$6))))</f>
        <v>0</v>
      </c>
      <c r="P43" s="42"/>
      <c r="Q43" s="42"/>
      <c r="R43" s="42"/>
      <c r="S43" s="42">
        <f t="shared" si="1"/>
        <v>0</v>
      </c>
      <c r="T43" s="42">
        <f t="shared" si="2"/>
        <v>13000</v>
      </c>
      <c r="U43" s="196">
        <v>2403548394</v>
      </c>
      <c r="V43" s="323">
        <v>45566</v>
      </c>
    </row>
    <row r="44" spans="1:22" x14ac:dyDescent="0.25">
      <c r="A44" s="194"/>
      <c r="B44" s="195">
        <v>38</v>
      </c>
      <c r="C44" s="195" t="s">
        <v>1754</v>
      </c>
      <c r="D44" s="194" t="s">
        <v>1755</v>
      </c>
      <c r="E44" s="194" t="s">
        <v>85</v>
      </c>
      <c r="F44" s="194" t="s">
        <v>88</v>
      </c>
      <c r="G44" s="310">
        <v>1</v>
      </c>
      <c r="H44" s="324" t="s">
        <v>1067</v>
      </c>
      <c r="I44" s="194" t="s">
        <v>1532</v>
      </c>
      <c r="J44" s="59">
        <v>13000</v>
      </c>
      <c r="K44" s="48"/>
      <c r="L44" s="48"/>
      <c r="M44" s="42"/>
      <c r="N44" s="42">
        <f t="shared" si="0"/>
        <v>13000</v>
      </c>
      <c r="O44" s="60" t="str">
        <f>IF(N44&lt;=[2]Datos!$G$7,"0",IF(N44&lt;=[2]Datos!$G$8,(N44-[2]Datos!$F$8)*[2]Datos!$I$6,IF(N44&lt;=[2]Datos!$G$9,[2]Datos!$I$8+(N44-[2]Datos!$F$9)*[2]Datos!$J$6,IF(N44&gt;=[2]Datos!$F$10,([2]Datos!$I$8+[2]Datos!$J$8)+(N44-[2]Datos!$F$10)*[2]Datos!$K$6))))</f>
        <v>0</v>
      </c>
      <c r="P44" s="42"/>
      <c r="Q44" s="42"/>
      <c r="R44" s="42"/>
      <c r="S44" s="42">
        <f t="shared" si="1"/>
        <v>0</v>
      </c>
      <c r="T44" s="42">
        <f t="shared" si="2"/>
        <v>13000</v>
      </c>
      <c r="U44" s="196">
        <v>9602471262</v>
      </c>
      <c r="V44" s="323">
        <v>45566</v>
      </c>
    </row>
    <row r="45" spans="1:22" x14ac:dyDescent="0.25">
      <c r="A45" s="194"/>
      <c r="B45" s="195">
        <v>39</v>
      </c>
      <c r="C45" s="195" t="s">
        <v>1144</v>
      </c>
      <c r="D45" s="194" t="s">
        <v>1145</v>
      </c>
      <c r="E45" s="194" t="s">
        <v>86</v>
      </c>
      <c r="F45" s="194" t="s">
        <v>88</v>
      </c>
      <c r="G45" s="310">
        <v>1</v>
      </c>
      <c r="H45" s="324" t="s">
        <v>1062</v>
      </c>
      <c r="I45" s="194" t="s">
        <v>829</v>
      </c>
      <c r="J45" s="59">
        <v>40000</v>
      </c>
      <c r="K45" s="48"/>
      <c r="L45" s="48"/>
      <c r="M45" s="42"/>
      <c r="N45" s="42">
        <f t="shared" si="0"/>
        <v>40000</v>
      </c>
      <c r="O45" s="60">
        <f>IF(N45&lt;=[2]Datos!$G$7,"0",IF(N45&lt;=[2]Datos!$G$8,(N45-[2]Datos!$F$8)*[2]Datos!$I$6,IF(N45&lt;=[2]Datos!$G$9,[2]Datos!$I$8+(N45-[2]Datos!$F$9)*[2]Datos!$J$6,IF(N45&gt;=[2]Datos!$F$10,([2]Datos!$I$8+[2]Datos!$J$8)+(N45-[2]Datos!$F$10)*[2]Datos!$K$6))))</f>
        <v>797.24849999999969</v>
      </c>
      <c r="P45" s="42"/>
      <c r="Q45" s="42"/>
      <c r="R45" s="42"/>
      <c r="S45" s="42">
        <f t="shared" si="1"/>
        <v>797.24849999999969</v>
      </c>
      <c r="T45" s="42">
        <f t="shared" si="2"/>
        <v>39202.751499999998</v>
      </c>
      <c r="U45" s="196"/>
      <c r="V45" s="323">
        <v>44866</v>
      </c>
    </row>
    <row r="46" spans="1:22" x14ac:dyDescent="0.25">
      <c r="A46" s="194"/>
      <c r="B46" s="195">
        <v>40</v>
      </c>
      <c r="C46" s="195" t="s">
        <v>1484</v>
      </c>
      <c r="D46" s="194" t="s">
        <v>1479</v>
      </c>
      <c r="E46" s="194" t="s">
        <v>86</v>
      </c>
      <c r="F46" s="194" t="s">
        <v>88</v>
      </c>
      <c r="G46" s="310">
        <v>1</v>
      </c>
      <c r="H46" s="324" t="s">
        <v>1067</v>
      </c>
      <c r="I46" s="194" t="s">
        <v>829</v>
      </c>
      <c r="J46" s="59">
        <v>12000</v>
      </c>
      <c r="K46" s="48"/>
      <c r="L46" s="48"/>
      <c r="M46" s="42"/>
      <c r="N46" s="42">
        <f t="shared" si="0"/>
        <v>12000</v>
      </c>
      <c r="O46" s="60" t="str">
        <f>IF(N46&lt;=[2]Datos!$G$7,"0",IF(N46&lt;=[2]Datos!$G$8,(N46-[2]Datos!$F$8)*[2]Datos!$I$6,IF(N46&lt;=[2]Datos!$G$9,[2]Datos!$I$8+(N46-[2]Datos!$F$9)*[2]Datos!$J$6,IF(N46&gt;=[2]Datos!$F$10,([2]Datos!$I$8+[2]Datos!$J$8)+(N46-[2]Datos!$F$10)*[2]Datos!$K$6))))</f>
        <v>0</v>
      </c>
      <c r="P46" s="42"/>
      <c r="Q46" s="42"/>
      <c r="R46" s="42"/>
      <c r="S46" s="42">
        <f t="shared" si="1"/>
        <v>0</v>
      </c>
      <c r="T46" s="42">
        <f t="shared" si="2"/>
        <v>12000</v>
      </c>
      <c r="U46" s="196">
        <v>5800331504</v>
      </c>
      <c r="V46" s="323">
        <v>45323</v>
      </c>
    </row>
    <row r="47" spans="1:22" x14ac:dyDescent="0.25">
      <c r="A47" s="194"/>
      <c r="B47" s="195">
        <v>41</v>
      </c>
      <c r="C47" s="195" t="s">
        <v>1691</v>
      </c>
      <c r="D47" s="194" t="s">
        <v>1692</v>
      </c>
      <c r="E47" s="194" t="s">
        <v>86</v>
      </c>
      <c r="F47" s="194" t="s">
        <v>88</v>
      </c>
      <c r="G47" s="310">
        <v>1</v>
      </c>
      <c r="H47" s="324" t="s">
        <v>1686</v>
      </c>
      <c r="I47" s="194" t="s">
        <v>1532</v>
      </c>
      <c r="J47" s="59">
        <v>13000</v>
      </c>
      <c r="K47" s="48"/>
      <c r="L47" s="48"/>
      <c r="M47" s="42"/>
      <c r="N47" s="42">
        <f t="shared" si="0"/>
        <v>13000</v>
      </c>
      <c r="O47" s="60" t="str">
        <f>IF(N47&lt;=[2]Datos!$G$7,"0",IF(N47&lt;=[2]Datos!$G$8,(N47-[2]Datos!$F$8)*[2]Datos!$I$6,IF(N47&lt;=[2]Datos!$G$9,[2]Datos!$I$8+(N47-[2]Datos!$F$9)*[2]Datos!$J$6,IF(N47&gt;=[2]Datos!$F$10,([2]Datos!$I$8+[2]Datos!$J$8)+(N47-[2]Datos!$F$10)*[2]Datos!$K$6))))</f>
        <v>0</v>
      </c>
      <c r="P47" s="42"/>
      <c r="Q47" s="42"/>
      <c r="R47" s="42"/>
      <c r="S47" s="42">
        <f t="shared" si="1"/>
        <v>0</v>
      </c>
      <c r="T47" s="42">
        <f t="shared" si="2"/>
        <v>13000</v>
      </c>
      <c r="U47" s="196">
        <v>5800610898</v>
      </c>
      <c r="V47" s="323">
        <v>45536</v>
      </c>
    </row>
    <row r="48" spans="1:22" x14ac:dyDescent="0.25">
      <c r="A48" s="194"/>
      <c r="B48" s="195">
        <v>42</v>
      </c>
      <c r="C48" s="195" t="s">
        <v>1763</v>
      </c>
      <c r="D48" s="194" t="s">
        <v>1764</v>
      </c>
      <c r="E48" s="194" t="s">
        <v>86</v>
      </c>
      <c r="F48" s="194" t="s">
        <v>88</v>
      </c>
      <c r="G48" s="310">
        <v>1</v>
      </c>
      <c r="H48" s="324" t="s">
        <v>1686</v>
      </c>
      <c r="I48" s="194" t="s">
        <v>1532</v>
      </c>
      <c r="J48" s="59">
        <v>13000</v>
      </c>
      <c r="K48" s="48"/>
      <c r="L48" s="48"/>
      <c r="M48" s="42"/>
      <c r="N48" s="42">
        <f t="shared" si="0"/>
        <v>13000</v>
      </c>
      <c r="O48" s="60" t="str">
        <f>IF(N48&lt;=[2]Datos!$G$7,"0",IF(N48&lt;=[2]Datos!$G$8,(N48-[2]Datos!$F$8)*[2]Datos!$I$6,IF(N48&lt;=[2]Datos!$G$9,[2]Datos!$I$8+(N48-[2]Datos!$F$9)*[2]Datos!$J$6,IF(N48&gt;=[2]Datos!$F$10,([2]Datos!$I$8+[2]Datos!$J$8)+(N48-[2]Datos!$F$10)*[2]Datos!$K$6))))</f>
        <v>0</v>
      </c>
      <c r="P48" s="42"/>
      <c r="Q48" s="42"/>
      <c r="R48" s="42"/>
      <c r="S48" s="42">
        <f t="shared" si="1"/>
        <v>0</v>
      </c>
      <c r="T48" s="42">
        <f t="shared" si="2"/>
        <v>13000</v>
      </c>
      <c r="U48" s="196">
        <v>9603702593</v>
      </c>
      <c r="V48" s="323">
        <v>45566</v>
      </c>
    </row>
    <row r="49" spans="1:22" x14ac:dyDescent="0.25">
      <c r="A49" s="194"/>
      <c r="B49" s="195">
        <v>43</v>
      </c>
      <c r="C49" s="195" t="s">
        <v>1099</v>
      </c>
      <c r="D49" s="194" t="s">
        <v>1100</v>
      </c>
      <c r="E49" s="194" t="s">
        <v>86</v>
      </c>
      <c r="F49" s="194" t="s">
        <v>88</v>
      </c>
      <c r="G49" s="310">
        <v>1</v>
      </c>
      <c r="H49" s="324" t="s">
        <v>1060</v>
      </c>
      <c r="I49" s="194" t="s">
        <v>829</v>
      </c>
      <c r="J49" s="59">
        <v>8500</v>
      </c>
      <c r="K49" s="48"/>
      <c r="L49" s="48"/>
      <c r="M49" s="42"/>
      <c r="N49" s="42">
        <f t="shared" si="0"/>
        <v>8500</v>
      </c>
      <c r="O49" s="60" t="str">
        <f>IF(N49&lt;=[2]Datos!$G$7,"0",IF(N49&lt;=[2]Datos!$G$8,(N49-[2]Datos!$F$8)*[2]Datos!$I$6,IF(N49&lt;=[2]Datos!$G$9,[2]Datos!$I$8+(N49-[2]Datos!$F$9)*[2]Datos!$J$6,IF(N49&gt;=[2]Datos!$F$10,([2]Datos!$I$8+[2]Datos!$J$8)+(N49-[2]Datos!$F$10)*[2]Datos!$K$6))))</f>
        <v>0</v>
      </c>
      <c r="P49" s="42"/>
      <c r="Q49" s="42"/>
      <c r="R49" s="42"/>
      <c r="S49" s="42">
        <f t="shared" si="1"/>
        <v>0</v>
      </c>
      <c r="T49" s="42">
        <f t="shared" si="2"/>
        <v>8500</v>
      </c>
      <c r="U49" s="196"/>
      <c r="V49" s="323">
        <v>44835</v>
      </c>
    </row>
    <row r="50" spans="1:22" x14ac:dyDescent="0.25">
      <c r="A50" s="194"/>
      <c r="B50" s="195">
        <v>44</v>
      </c>
      <c r="C50" s="195" t="s">
        <v>464</v>
      </c>
      <c r="D50" s="194" t="s">
        <v>705</v>
      </c>
      <c r="E50" s="194" t="s">
        <v>86</v>
      </c>
      <c r="F50" s="194" t="s">
        <v>88</v>
      </c>
      <c r="G50" s="195">
        <v>1</v>
      </c>
      <c r="H50" s="108" t="s">
        <v>1060</v>
      </c>
      <c r="I50" s="194" t="s">
        <v>829</v>
      </c>
      <c r="J50" s="59">
        <v>8500</v>
      </c>
      <c r="K50" s="48"/>
      <c r="L50" s="48"/>
      <c r="M50" s="42"/>
      <c r="N50" s="42">
        <f t="shared" si="0"/>
        <v>8500</v>
      </c>
      <c r="O50" s="60" t="str">
        <f>IF(N50&lt;=[2]Datos!$G$7,"0",IF(N50&lt;=[2]Datos!$G$8,(N50-[2]Datos!$F$8)*[2]Datos!$I$6,IF(N50&lt;=[2]Datos!$G$9,[2]Datos!$I$8+(N50-[2]Datos!$F$9)*[2]Datos!$J$6,IF(N50&gt;=[2]Datos!$F$10,([2]Datos!$I$8+[2]Datos!$J$8)+(N50-[2]Datos!$F$10)*[2]Datos!$K$6))))</f>
        <v>0</v>
      </c>
      <c r="P50" s="42"/>
      <c r="Q50" s="42"/>
      <c r="R50" s="42"/>
      <c r="S50" s="42">
        <f t="shared" si="1"/>
        <v>0</v>
      </c>
      <c r="T50" s="42">
        <f t="shared" si="2"/>
        <v>8500</v>
      </c>
      <c r="U50" s="196" t="s">
        <v>225</v>
      </c>
      <c r="V50" s="323">
        <v>44197</v>
      </c>
    </row>
    <row r="51" spans="1:22" x14ac:dyDescent="0.25">
      <c r="A51" s="194"/>
      <c r="B51" s="195">
        <v>45</v>
      </c>
      <c r="C51" s="195" t="s">
        <v>1760</v>
      </c>
      <c r="D51" s="194" t="s">
        <v>1761</v>
      </c>
      <c r="E51" s="194" t="s">
        <v>86</v>
      </c>
      <c r="F51" s="194" t="s">
        <v>88</v>
      </c>
      <c r="G51" s="195">
        <v>1</v>
      </c>
      <c r="H51" s="108" t="s">
        <v>1710</v>
      </c>
      <c r="I51" s="194" t="s">
        <v>1532</v>
      </c>
      <c r="J51" s="59">
        <v>13000</v>
      </c>
      <c r="K51" s="48"/>
      <c r="L51" s="48"/>
      <c r="M51" s="42"/>
      <c r="N51" s="42">
        <f t="shared" si="0"/>
        <v>13000</v>
      </c>
      <c r="O51" s="60" t="str">
        <f>IF(N51&lt;=[2]Datos!$G$7,"0",IF(N51&lt;=[2]Datos!$G$8,(N51-[2]Datos!$F$8)*[2]Datos!$I$6,IF(N51&lt;=[2]Datos!$G$9,[2]Datos!$I$8+(N51-[2]Datos!$F$9)*[2]Datos!$J$6,IF(N51&gt;=[2]Datos!$F$10,([2]Datos!$I$8+[2]Datos!$J$8)+(N51-[2]Datos!$F$10)*[2]Datos!$K$6))))</f>
        <v>0</v>
      </c>
      <c r="P51" s="42"/>
      <c r="Q51" s="42"/>
      <c r="R51" s="42"/>
      <c r="S51" s="42">
        <f t="shared" si="1"/>
        <v>0</v>
      </c>
      <c r="T51" s="42">
        <f t="shared" si="2"/>
        <v>13000</v>
      </c>
      <c r="U51" s="196">
        <v>9601274842</v>
      </c>
      <c r="V51" s="323">
        <v>45566</v>
      </c>
    </row>
    <row r="52" spans="1:22" x14ac:dyDescent="0.25">
      <c r="A52" s="194"/>
      <c r="B52" s="195">
        <v>46</v>
      </c>
      <c r="C52" s="195" t="s">
        <v>1407</v>
      </c>
      <c r="D52" s="194" t="s">
        <v>1408</v>
      </c>
      <c r="E52" s="194" t="s">
        <v>86</v>
      </c>
      <c r="F52" s="194" t="s">
        <v>88</v>
      </c>
      <c r="G52" s="195">
        <v>1</v>
      </c>
      <c r="H52" s="108" t="s">
        <v>1067</v>
      </c>
      <c r="I52" s="194" t="s">
        <v>829</v>
      </c>
      <c r="J52" s="59">
        <v>17000</v>
      </c>
      <c r="K52" s="48"/>
      <c r="L52" s="48"/>
      <c r="M52" s="42"/>
      <c r="N52" s="42">
        <f t="shared" si="0"/>
        <v>17000</v>
      </c>
      <c r="O52" s="60" t="str">
        <f>IF(N52&lt;=[2]Datos!$G$7,"0",IF(N52&lt;=[2]Datos!$G$8,(N52-[2]Datos!$F$8)*[2]Datos!$I$6,IF(N52&lt;=[2]Datos!$G$9,[2]Datos!$I$8+(N52-[2]Datos!$F$9)*[2]Datos!$J$6,IF(N52&gt;=[2]Datos!$F$10,([2]Datos!$I$8+[2]Datos!$J$8)+(N52-[2]Datos!$F$10)*[2]Datos!$K$6))))</f>
        <v>0</v>
      </c>
      <c r="P52" s="42"/>
      <c r="Q52" s="42"/>
      <c r="R52" s="42"/>
      <c r="S52" s="42">
        <f t="shared" si="1"/>
        <v>0</v>
      </c>
      <c r="T52" s="42">
        <f t="shared" si="2"/>
        <v>17000</v>
      </c>
      <c r="U52" s="196">
        <v>2320306746</v>
      </c>
      <c r="V52" s="323">
        <v>45200</v>
      </c>
    </row>
    <row r="53" spans="1:22" x14ac:dyDescent="0.25">
      <c r="A53" s="194"/>
      <c r="B53" s="195">
        <v>47</v>
      </c>
      <c r="C53" s="195" t="s">
        <v>473</v>
      </c>
      <c r="D53" s="194" t="s">
        <v>714</v>
      </c>
      <c r="E53" s="194" t="s">
        <v>86</v>
      </c>
      <c r="F53" s="194" t="s">
        <v>88</v>
      </c>
      <c r="G53" s="195">
        <v>1</v>
      </c>
      <c r="H53" s="108" t="s">
        <v>1060</v>
      </c>
      <c r="I53" s="194" t="s">
        <v>1532</v>
      </c>
      <c r="J53" s="59">
        <v>40000</v>
      </c>
      <c r="K53" s="48"/>
      <c r="L53" s="48"/>
      <c r="M53" s="42"/>
      <c r="N53" s="42">
        <f t="shared" si="0"/>
        <v>40000</v>
      </c>
      <c r="O53" s="60">
        <f>IF(N53&lt;=[2]Datos!$G$7,"0",IF(N53&lt;=[2]Datos!$G$8,(N53-[2]Datos!$F$8)*[2]Datos!$I$6,IF(N53&lt;=[2]Datos!$G$9,[2]Datos!$I$8+(N53-[2]Datos!$F$9)*[2]Datos!$J$6,IF(N53&gt;=[2]Datos!$F$10,([2]Datos!$I$8+[2]Datos!$J$8)+(N53-[2]Datos!$F$10)*[2]Datos!$K$6))))</f>
        <v>797.24849999999969</v>
      </c>
      <c r="P53" s="42"/>
      <c r="Q53" s="42"/>
      <c r="R53" s="42"/>
      <c r="S53" s="42">
        <f t="shared" si="1"/>
        <v>797.24849999999969</v>
      </c>
      <c r="T53" s="42">
        <f t="shared" si="2"/>
        <v>39202.751499999998</v>
      </c>
      <c r="U53" s="196" t="s">
        <v>235</v>
      </c>
      <c r="V53" s="323">
        <v>44197</v>
      </c>
    </row>
    <row r="54" spans="1:22" x14ac:dyDescent="0.25">
      <c r="A54" s="194"/>
      <c r="B54" s="195">
        <v>48</v>
      </c>
      <c r="C54" s="195" t="s">
        <v>1934</v>
      </c>
      <c r="D54" s="194" t="s">
        <v>1935</v>
      </c>
      <c r="E54" s="194" t="s">
        <v>86</v>
      </c>
      <c r="F54" s="194" t="s">
        <v>88</v>
      </c>
      <c r="G54" s="195">
        <v>1</v>
      </c>
      <c r="H54" s="108" t="s">
        <v>1061</v>
      </c>
      <c r="I54" s="194" t="s">
        <v>1532</v>
      </c>
      <c r="J54" s="59">
        <v>13000</v>
      </c>
      <c r="K54" s="48"/>
      <c r="L54" s="48"/>
      <c r="M54" s="42"/>
      <c r="N54" s="42">
        <f t="shared" si="0"/>
        <v>13000</v>
      </c>
      <c r="O54" s="60" t="str">
        <f>IF(N54&lt;=[2]Datos!$G$7,"0",IF(N54&lt;=[2]Datos!$G$8,(N54-[2]Datos!$F$8)*[2]Datos!$I$6,IF(N54&lt;=[2]Datos!$G$9,[2]Datos!$I$8+(N54-[2]Datos!$F$9)*[2]Datos!$J$6,IF(N54&gt;=[2]Datos!$F$10,([2]Datos!$I$8+[2]Datos!$J$8)+(N54-[2]Datos!$F$10)*[2]Datos!$K$6))))</f>
        <v>0</v>
      </c>
      <c r="P54" s="42"/>
      <c r="Q54" s="42"/>
      <c r="R54" s="42"/>
      <c r="S54" s="42">
        <f t="shared" si="1"/>
        <v>0</v>
      </c>
      <c r="T54" s="42">
        <f t="shared" si="2"/>
        <v>13000</v>
      </c>
      <c r="U54" s="196">
        <v>9605612576</v>
      </c>
      <c r="V54" s="323">
        <v>45627</v>
      </c>
    </row>
    <row r="55" spans="1:22" x14ac:dyDescent="0.25">
      <c r="A55" s="194"/>
      <c r="B55" s="195">
        <v>49</v>
      </c>
      <c r="C55" s="195" t="s">
        <v>477</v>
      </c>
      <c r="D55" s="194" t="s">
        <v>718</v>
      </c>
      <c r="E55" s="194" t="s">
        <v>86</v>
      </c>
      <c r="F55" s="194" t="s">
        <v>88</v>
      </c>
      <c r="G55" s="195">
        <v>1</v>
      </c>
      <c r="H55" s="108" t="s">
        <v>1060</v>
      </c>
      <c r="I55" s="194" t="s">
        <v>829</v>
      </c>
      <c r="J55" s="59">
        <v>10500</v>
      </c>
      <c r="K55" s="48"/>
      <c r="L55" s="48"/>
      <c r="M55" s="42"/>
      <c r="N55" s="42">
        <f t="shared" si="0"/>
        <v>10500</v>
      </c>
      <c r="O55" s="60" t="str">
        <f>IF(N55&lt;=[2]Datos!$G$7,"0",IF(N55&lt;=[2]Datos!$G$8,(N55-[2]Datos!$F$8)*[2]Datos!$I$6,IF(N55&lt;=[2]Datos!$G$9,[2]Datos!$I$8+(N55-[2]Datos!$F$9)*[2]Datos!$J$6,IF(N55&gt;=[2]Datos!$F$10,([2]Datos!$I$8+[2]Datos!$J$8)+(N55-[2]Datos!$F$10)*[2]Datos!$K$6))))</f>
        <v>0</v>
      </c>
      <c r="P55" s="42"/>
      <c r="Q55" s="42"/>
      <c r="R55" s="42"/>
      <c r="S55" s="42">
        <f t="shared" si="1"/>
        <v>0</v>
      </c>
      <c r="T55" s="42">
        <f t="shared" si="2"/>
        <v>10500</v>
      </c>
      <c r="U55" s="196" t="s">
        <v>239</v>
      </c>
      <c r="V55" s="323">
        <v>44197</v>
      </c>
    </row>
    <row r="56" spans="1:22" x14ac:dyDescent="0.25">
      <c r="A56" s="194"/>
      <c r="B56" s="195">
        <v>50</v>
      </c>
      <c r="C56" s="195" t="s">
        <v>1409</v>
      </c>
      <c r="D56" s="194" t="s">
        <v>1410</v>
      </c>
      <c r="E56" s="194" t="s">
        <v>86</v>
      </c>
      <c r="F56" s="194" t="s">
        <v>88</v>
      </c>
      <c r="G56" s="195">
        <v>1</v>
      </c>
      <c r="H56" s="108" t="s">
        <v>1067</v>
      </c>
      <c r="I56" s="194" t="s">
        <v>829</v>
      </c>
      <c r="J56" s="59">
        <v>12000</v>
      </c>
      <c r="K56" s="48"/>
      <c r="L56" s="48"/>
      <c r="M56" s="42"/>
      <c r="N56" s="42">
        <f t="shared" si="0"/>
        <v>12000</v>
      </c>
      <c r="O56" s="60" t="str">
        <f>IF(N56&lt;=[2]Datos!$G$7,"0",IF(N56&lt;=[2]Datos!$G$8,(N56-[2]Datos!$F$8)*[2]Datos!$I$6,IF(N56&lt;=[2]Datos!$G$9,[2]Datos!$I$8+(N56-[2]Datos!$F$9)*[2]Datos!$J$6,IF(N56&gt;=[2]Datos!$F$10,([2]Datos!$I$8+[2]Datos!$J$8)+(N56-[2]Datos!$F$10)*[2]Datos!$K$6))))</f>
        <v>0</v>
      </c>
      <c r="P56" s="42"/>
      <c r="Q56" s="42"/>
      <c r="R56" s="42"/>
      <c r="S56" s="42">
        <f t="shared" si="1"/>
        <v>0</v>
      </c>
      <c r="T56" s="42">
        <f t="shared" si="2"/>
        <v>12000</v>
      </c>
      <c r="U56" s="196">
        <v>2320274409</v>
      </c>
      <c r="V56" s="323">
        <v>45200</v>
      </c>
    </row>
    <row r="57" spans="1:22" x14ac:dyDescent="0.25">
      <c r="A57" s="194"/>
      <c r="B57" s="195">
        <v>51</v>
      </c>
      <c r="C57" s="195" t="s">
        <v>1321</v>
      </c>
      <c r="D57" s="194" t="s">
        <v>1322</v>
      </c>
      <c r="E57" s="194" t="s">
        <v>85</v>
      </c>
      <c r="F57" s="194" t="s">
        <v>88</v>
      </c>
      <c r="G57" s="195">
        <v>1</v>
      </c>
      <c r="H57" s="108" t="s">
        <v>1062</v>
      </c>
      <c r="I57" s="194" t="s">
        <v>829</v>
      </c>
      <c r="J57" s="59">
        <v>13000</v>
      </c>
      <c r="K57" s="48"/>
      <c r="L57" s="48"/>
      <c r="M57" s="42"/>
      <c r="N57" s="42">
        <f t="shared" si="0"/>
        <v>13000</v>
      </c>
      <c r="O57" s="60" t="str">
        <f>IF(N57&lt;=[2]Datos!$G$7,"0",IF(N57&lt;=[2]Datos!$G$8,(N57-[2]Datos!$F$8)*[2]Datos!$I$6,IF(N57&lt;=[2]Datos!$G$9,[2]Datos!$I$8+(N57-[2]Datos!$F$9)*[2]Datos!$J$6,IF(N57&gt;=[2]Datos!$F$10,([2]Datos!$I$8+[2]Datos!$J$8)+(N57-[2]Datos!$F$10)*[2]Datos!$K$6))))</f>
        <v>0</v>
      </c>
      <c r="P57" s="42"/>
      <c r="Q57" s="42"/>
      <c r="R57" s="42"/>
      <c r="S57" s="42">
        <f t="shared" si="1"/>
        <v>0</v>
      </c>
      <c r="T57" s="42">
        <f t="shared" si="2"/>
        <v>13000</v>
      </c>
      <c r="U57" s="196"/>
      <c r="V57" s="323">
        <v>45108</v>
      </c>
    </row>
    <row r="58" spans="1:22" x14ac:dyDescent="0.25">
      <c r="A58" s="194"/>
      <c r="B58" s="195">
        <v>52</v>
      </c>
      <c r="C58" s="195" t="s">
        <v>1765</v>
      </c>
      <c r="D58" s="194" t="s">
        <v>1766</v>
      </c>
      <c r="E58" s="194" t="s">
        <v>86</v>
      </c>
      <c r="F58" s="194" t="s">
        <v>88</v>
      </c>
      <c r="G58" s="195">
        <v>1</v>
      </c>
      <c r="H58" s="108" t="s">
        <v>1060</v>
      </c>
      <c r="I58" s="194" t="s">
        <v>1532</v>
      </c>
      <c r="J58" s="59">
        <v>18000</v>
      </c>
      <c r="K58" s="48"/>
      <c r="L58" s="48"/>
      <c r="M58" s="42"/>
      <c r="N58" s="42">
        <f t="shared" si="0"/>
        <v>18000</v>
      </c>
      <c r="O58" s="60" t="str">
        <f>IF(N58&lt;=[2]Datos!$G$7,"0",IF(N58&lt;=[2]Datos!$G$8,(N58-[2]Datos!$F$8)*[2]Datos!$I$6,IF(N58&lt;=[2]Datos!$G$9,[2]Datos!$I$8+(N58-[2]Datos!$F$9)*[2]Datos!$J$6,IF(N58&gt;=[2]Datos!$F$10,([2]Datos!$I$8+[2]Datos!$J$8)+(N58-[2]Datos!$F$10)*[2]Datos!$K$6))))</f>
        <v>0</v>
      </c>
      <c r="P58" s="42"/>
      <c r="Q58" s="42"/>
      <c r="R58" s="42"/>
      <c r="S58" s="42">
        <f t="shared" si="1"/>
        <v>0</v>
      </c>
      <c r="T58" s="42">
        <f t="shared" si="2"/>
        <v>18000</v>
      </c>
      <c r="U58" s="196">
        <v>2800338976</v>
      </c>
      <c r="V58" s="323">
        <v>45566</v>
      </c>
    </row>
    <row r="59" spans="1:22" x14ac:dyDescent="0.25">
      <c r="A59" s="194"/>
      <c r="B59" s="195">
        <v>53</v>
      </c>
      <c r="C59" s="195" t="s">
        <v>492</v>
      </c>
      <c r="D59" s="194" t="s">
        <v>732</v>
      </c>
      <c r="E59" s="194" t="s">
        <v>85</v>
      </c>
      <c r="F59" s="194" t="s">
        <v>88</v>
      </c>
      <c r="G59" s="195">
        <v>1</v>
      </c>
      <c r="H59" s="108" t="s">
        <v>1060</v>
      </c>
      <c r="I59" s="194" t="s">
        <v>829</v>
      </c>
      <c r="J59" s="59">
        <v>10500</v>
      </c>
      <c r="K59" s="48"/>
      <c r="L59" s="48"/>
      <c r="M59" s="42"/>
      <c r="N59" s="42">
        <f t="shared" si="0"/>
        <v>10500</v>
      </c>
      <c r="O59" s="60" t="str">
        <f>IF(N59&lt;=[2]Datos!$G$7,"0",IF(N59&lt;=[2]Datos!$G$8,(N59-[2]Datos!$F$8)*[2]Datos!$I$6,IF(N59&lt;=[2]Datos!$G$9,[2]Datos!$I$8+(N59-[2]Datos!$F$9)*[2]Datos!$J$6,IF(N59&gt;=[2]Datos!$F$10,([2]Datos!$I$8+[2]Datos!$J$8)+(N59-[2]Datos!$F$10)*[2]Datos!$K$6))))</f>
        <v>0</v>
      </c>
      <c r="P59" s="42"/>
      <c r="Q59" s="42"/>
      <c r="R59" s="42"/>
      <c r="S59" s="42">
        <f t="shared" si="1"/>
        <v>0</v>
      </c>
      <c r="T59" s="42">
        <f t="shared" si="2"/>
        <v>10500</v>
      </c>
      <c r="U59" s="196" t="s">
        <v>254</v>
      </c>
      <c r="V59" s="323">
        <v>44197</v>
      </c>
    </row>
    <row r="60" spans="1:22" x14ac:dyDescent="0.25">
      <c r="A60" s="194"/>
      <c r="B60" s="195">
        <v>54</v>
      </c>
      <c r="C60" s="195" t="s">
        <v>1353</v>
      </c>
      <c r="D60" s="194" t="s">
        <v>1354</v>
      </c>
      <c r="E60" s="194" t="s">
        <v>86</v>
      </c>
      <c r="F60" s="194" t="s">
        <v>88</v>
      </c>
      <c r="G60" s="195">
        <v>1</v>
      </c>
      <c r="H60" s="108" t="s">
        <v>1067</v>
      </c>
      <c r="I60" s="194" t="s">
        <v>829</v>
      </c>
      <c r="J60" s="59">
        <v>10500</v>
      </c>
      <c r="K60" s="48"/>
      <c r="L60" s="48"/>
      <c r="M60" s="42"/>
      <c r="N60" s="42">
        <v>10500</v>
      </c>
      <c r="O60" s="60" t="str">
        <f>IF(N60&lt;=[2]Datos!$G$7,"0",IF(N60&lt;=[2]Datos!$G$8,(N60-[2]Datos!$F$8)*[2]Datos!$I$6,IF(N60&lt;=[2]Datos!$G$9,[2]Datos!$I$8+(N60-[2]Datos!$F$9)*[2]Datos!$J$6,IF(N60&gt;=[2]Datos!$F$10,([2]Datos!$I$8+[2]Datos!$J$8)+(N60-[2]Datos!$F$10)*[2]Datos!$K$6))))</f>
        <v>0</v>
      </c>
      <c r="P60" s="42"/>
      <c r="Q60" s="42"/>
      <c r="R60" s="42"/>
      <c r="S60" s="42">
        <f t="shared" si="1"/>
        <v>0</v>
      </c>
      <c r="T60" s="42">
        <f t="shared" si="2"/>
        <v>10500</v>
      </c>
      <c r="U60" s="196" t="s">
        <v>1355</v>
      </c>
      <c r="V60" s="323">
        <v>45170</v>
      </c>
    </row>
    <row r="61" spans="1:22" x14ac:dyDescent="0.25">
      <c r="A61" s="194"/>
      <c r="B61" s="195">
        <v>55</v>
      </c>
      <c r="C61" s="341" t="s">
        <v>1966</v>
      </c>
      <c r="D61" s="342" t="s">
        <v>1967</v>
      </c>
      <c r="E61" s="342" t="s">
        <v>86</v>
      </c>
      <c r="F61" s="342" t="s">
        <v>88</v>
      </c>
      <c r="G61" s="343">
        <v>1</v>
      </c>
      <c r="H61" s="350" t="s">
        <v>1067</v>
      </c>
      <c r="I61" s="342" t="s">
        <v>1532</v>
      </c>
      <c r="J61" s="344">
        <v>13000</v>
      </c>
      <c r="K61" s="345"/>
      <c r="L61" s="345"/>
      <c r="M61" s="346"/>
      <c r="N61" s="346">
        <v>13000</v>
      </c>
      <c r="O61" s="347" t="str">
        <f>IF(N61&lt;=[2]Datos!$G$7,"0",IF(N61&lt;=[2]Datos!$G$8,(N61-[2]Datos!$F$8)*[2]Datos!$I$6,IF(N61&lt;=[2]Datos!$G$9,[2]Datos!$I$8+(N61-[2]Datos!$F$9)*[2]Datos!$J$6,IF(N61&gt;=[2]Datos!$F$10,([2]Datos!$I$8+[2]Datos!$J$8)+(N61-[2]Datos!$F$10)*[2]Datos!$K$6))))</f>
        <v>0</v>
      </c>
      <c r="P61" s="346"/>
      <c r="Q61" s="346"/>
      <c r="R61" s="346"/>
      <c r="S61" s="346">
        <f t="shared" si="1"/>
        <v>0</v>
      </c>
      <c r="T61" s="346">
        <f t="shared" si="2"/>
        <v>13000</v>
      </c>
      <c r="U61" s="348" t="s">
        <v>1968</v>
      </c>
      <c r="V61" s="349">
        <v>45658</v>
      </c>
    </row>
    <row r="62" spans="1:22" x14ac:dyDescent="0.25">
      <c r="A62" s="194"/>
      <c r="B62" s="195">
        <v>56</v>
      </c>
      <c r="C62" s="195" t="s">
        <v>514</v>
      </c>
      <c r="D62" s="194" t="s">
        <v>754</v>
      </c>
      <c r="E62" s="194" t="s">
        <v>86</v>
      </c>
      <c r="F62" s="194" t="s">
        <v>88</v>
      </c>
      <c r="G62" s="310">
        <v>1</v>
      </c>
      <c r="H62" s="324" t="s">
        <v>1062</v>
      </c>
      <c r="I62" s="194" t="s">
        <v>829</v>
      </c>
      <c r="J62" s="59">
        <v>13000</v>
      </c>
      <c r="K62" s="48"/>
      <c r="L62" s="48"/>
      <c r="M62" s="42"/>
      <c r="N62" s="42">
        <f t="shared" si="0"/>
        <v>13000</v>
      </c>
      <c r="O62" s="60" t="str">
        <f>IF(N62&lt;=[2]Datos!$G$7,"0",IF(N62&lt;=[2]Datos!$G$8,(N62-[2]Datos!$F$8)*[2]Datos!$I$6,IF(N62&lt;=[2]Datos!$G$9,[2]Datos!$I$8+(N62-[2]Datos!$F$9)*[2]Datos!$J$6,IF(N62&gt;=[2]Datos!$F$10,([2]Datos!$I$8+[2]Datos!$J$8)+(N62-[2]Datos!$F$10)*[2]Datos!$K$6))))</f>
        <v>0</v>
      </c>
      <c r="P62" s="42"/>
      <c r="Q62" s="42"/>
      <c r="R62" s="42"/>
      <c r="S62" s="42">
        <f t="shared" si="1"/>
        <v>0</v>
      </c>
      <c r="T62" s="42">
        <f t="shared" si="2"/>
        <v>13000</v>
      </c>
      <c r="U62" s="196" t="s">
        <v>276</v>
      </c>
      <c r="V62" s="323">
        <v>44197</v>
      </c>
    </row>
    <row r="63" spans="1:22" x14ac:dyDescent="0.25">
      <c r="A63" s="194"/>
      <c r="B63" s="195">
        <v>57</v>
      </c>
      <c r="C63" s="195" t="s">
        <v>517</v>
      </c>
      <c r="D63" s="194" t="s">
        <v>757</v>
      </c>
      <c r="E63" s="194" t="s">
        <v>86</v>
      </c>
      <c r="F63" s="194" t="s">
        <v>88</v>
      </c>
      <c r="G63" s="195">
        <v>1</v>
      </c>
      <c r="H63" s="108" t="s">
        <v>1060</v>
      </c>
      <c r="I63" s="194" t="s">
        <v>829</v>
      </c>
      <c r="J63" s="59">
        <v>8500</v>
      </c>
      <c r="K63" s="48"/>
      <c r="L63" s="48"/>
      <c r="M63" s="42"/>
      <c r="N63" s="42">
        <f t="shared" si="0"/>
        <v>8500</v>
      </c>
      <c r="O63" s="60" t="str">
        <f>IF(N63&lt;=[2]Datos!$G$7,"0",IF(N63&lt;=[2]Datos!$G$8,(N63-[2]Datos!$F$8)*[2]Datos!$I$6,IF(N63&lt;=[2]Datos!$G$9,[2]Datos!$I$8+(N63-[2]Datos!$F$9)*[2]Datos!$J$6,IF(N63&gt;=[2]Datos!$F$10,([2]Datos!$I$8+[2]Datos!$J$8)+(N63-[2]Datos!$F$10)*[2]Datos!$K$6))))</f>
        <v>0</v>
      </c>
      <c r="P63" s="42"/>
      <c r="Q63" s="42"/>
      <c r="R63" s="42"/>
      <c r="S63" s="42">
        <f t="shared" si="1"/>
        <v>0</v>
      </c>
      <c r="T63" s="42">
        <f t="shared" si="2"/>
        <v>8500</v>
      </c>
      <c r="U63" s="196" t="s">
        <v>279</v>
      </c>
      <c r="V63" s="323">
        <v>44197</v>
      </c>
    </row>
    <row r="64" spans="1:22" x14ac:dyDescent="0.25">
      <c r="A64" s="194"/>
      <c r="B64" s="195">
        <v>58</v>
      </c>
      <c r="C64" s="195" t="s">
        <v>1237</v>
      </c>
      <c r="D64" s="194" t="s">
        <v>1238</v>
      </c>
      <c r="E64" s="194" t="s">
        <v>86</v>
      </c>
      <c r="F64" s="194" t="s">
        <v>88</v>
      </c>
      <c r="G64" s="310">
        <v>1</v>
      </c>
      <c r="H64" s="324" t="s">
        <v>1060</v>
      </c>
      <c r="I64" s="194" t="s">
        <v>829</v>
      </c>
      <c r="J64" s="59">
        <v>12500</v>
      </c>
      <c r="K64" s="48"/>
      <c r="L64" s="48"/>
      <c r="M64" s="42"/>
      <c r="N64" s="42">
        <f t="shared" si="0"/>
        <v>12500</v>
      </c>
      <c r="O64" s="60" t="str">
        <f>IF(N64&lt;=[2]Datos!$G$7,"0",IF(N64&lt;=[2]Datos!$G$8,(N64-[2]Datos!$F$8)*[2]Datos!$I$6,IF(N64&lt;=[2]Datos!$G$9,[2]Datos!$I$8+(N64-[2]Datos!$F$9)*[2]Datos!$J$6,IF(N64&gt;=[2]Datos!$F$10,([2]Datos!$I$8+[2]Datos!$J$8)+(N64-[2]Datos!$F$10)*[2]Datos!$K$6))))</f>
        <v>0</v>
      </c>
      <c r="P64" s="42"/>
      <c r="Q64" s="42"/>
      <c r="R64" s="42"/>
      <c r="S64" s="42">
        <f t="shared" si="1"/>
        <v>0</v>
      </c>
      <c r="T64" s="42">
        <f t="shared" si="2"/>
        <v>12500</v>
      </c>
      <c r="U64" s="196" t="s">
        <v>1239</v>
      </c>
      <c r="V64" s="323">
        <v>45047</v>
      </c>
    </row>
    <row r="65" spans="1:22" x14ac:dyDescent="0.25">
      <c r="A65" s="194"/>
      <c r="B65" s="195">
        <v>59</v>
      </c>
      <c r="C65" s="195" t="s">
        <v>522</v>
      </c>
      <c r="D65" s="194" t="s">
        <v>761</v>
      </c>
      <c r="E65" s="194" t="s">
        <v>86</v>
      </c>
      <c r="F65" s="194" t="s">
        <v>88</v>
      </c>
      <c r="G65" s="310">
        <v>1</v>
      </c>
      <c r="H65" s="324" t="s">
        <v>1062</v>
      </c>
      <c r="I65" s="194" t="s">
        <v>829</v>
      </c>
      <c r="J65" s="59">
        <v>20000</v>
      </c>
      <c r="K65" s="48"/>
      <c r="L65" s="48"/>
      <c r="M65" s="42"/>
      <c r="N65" s="42">
        <f t="shared" si="0"/>
        <v>20000</v>
      </c>
      <c r="O65" s="60" t="str">
        <f>IF(N65&lt;=[2]Datos!$G$7,"0",IF(N65&lt;=[2]Datos!$G$8,(N65-[2]Datos!$F$8)*[2]Datos!$I$6,IF(N65&lt;=[2]Datos!$G$9,[2]Datos!$I$8+(N65-[2]Datos!$F$9)*[2]Datos!$J$6,IF(N65&gt;=[2]Datos!$F$10,([2]Datos!$I$8+[2]Datos!$J$8)+(N65-[2]Datos!$F$10)*[2]Datos!$K$6))))</f>
        <v>0</v>
      </c>
      <c r="P65" s="42"/>
      <c r="Q65" s="42"/>
      <c r="R65" s="42"/>
      <c r="S65" s="42">
        <f t="shared" si="1"/>
        <v>0</v>
      </c>
      <c r="T65" s="42">
        <f t="shared" si="2"/>
        <v>20000</v>
      </c>
      <c r="U65" s="196" t="s">
        <v>283</v>
      </c>
      <c r="V65" s="323">
        <v>44197</v>
      </c>
    </row>
    <row r="66" spans="1:22" x14ac:dyDescent="0.25">
      <c r="A66" s="194"/>
      <c r="B66" s="195">
        <v>60</v>
      </c>
      <c r="C66" s="195" t="s">
        <v>526</v>
      </c>
      <c r="D66" s="194" t="s">
        <v>765</v>
      </c>
      <c r="E66" s="194" t="s">
        <v>86</v>
      </c>
      <c r="F66" s="194" t="s">
        <v>88</v>
      </c>
      <c r="G66" s="310">
        <v>1</v>
      </c>
      <c r="H66" s="324" t="s">
        <v>1062</v>
      </c>
      <c r="I66" s="194" t="s">
        <v>829</v>
      </c>
      <c r="J66" s="59">
        <v>13000</v>
      </c>
      <c r="K66" s="48"/>
      <c r="L66" s="48"/>
      <c r="M66" s="42"/>
      <c r="N66" s="42">
        <f t="shared" si="0"/>
        <v>13000</v>
      </c>
      <c r="O66" s="60" t="str">
        <f>IF(N66&lt;=[2]Datos!$G$7,"0",IF(N66&lt;=[2]Datos!$G$8,(N66-[2]Datos!$F$8)*[2]Datos!$I$6,IF(N66&lt;=[2]Datos!$G$9,[2]Datos!$I$8+(N66-[2]Datos!$F$9)*[2]Datos!$J$6,IF(N66&gt;=[2]Datos!$F$10,([2]Datos!$I$8+[2]Datos!$J$8)+(N66-[2]Datos!$F$10)*[2]Datos!$K$6))))</f>
        <v>0</v>
      </c>
      <c r="P66" s="42"/>
      <c r="Q66" s="42"/>
      <c r="R66" s="42"/>
      <c r="S66" s="42">
        <f t="shared" si="1"/>
        <v>0</v>
      </c>
      <c r="T66" s="42">
        <f t="shared" si="2"/>
        <v>13000</v>
      </c>
      <c r="U66" s="196" t="s">
        <v>287</v>
      </c>
      <c r="V66" s="323">
        <v>44197</v>
      </c>
    </row>
    <row r="67" spans="1:22" ht="16.5" customHeight="1" x14ac:dyDescent="0.25">
      <c r="A67" s="194"/>
      <c r="B67" s="195">
        <v>61</v>
      </c>
      <c r="C67" s="195" t="s">
        <v>1202</v>
      </c>
      <c r="D67" s="194" t="s">
        <v>1203</v>
      </c>
      <c r="E67" s="194" t="s">
        <v>86</v>
      </c>
      <c r="F67" s="194" t="s">
        <v>88</v>
      </c>
      <c r="G67" s="310">
        <v>1</v>
      </c>
      <c r="H67" s="324" t="s">
        <v>1061</v>
      </c>
      <c r="I67" s="194" t="s">
        <v>829</v>
      </c>
      <c r="J67" s="59">
        <v>12000</v>
      </c>
      <c r="K67" s="48"/>
      <c r="L67" s="48"/>
      <c r="M67" s="42"/>
      <c r="N67" s="42">
        <f t="shared" si="0"/>
        <v>12000</v>
      </c>
      <c r="O67" s="60" t="str">
        <f>IF(N67&lt;=[2]Datos!$G$7,"0",IF(N67&lt;=[2]Datos!$G$8,(N67-[2]Datos!$F$8)*[2]Datos!$I$6,IF(N67&lt;=[2]Datos!$G$9,[2]Datos!$I$8+(N67-[2]Datos!$F$9)*[2]Datos!$J$6,IF(N67&gt;=[2]Datos!$F$10,([2]Datos!$I$8+[2]Datos!$J$8)+(N67-[2]Datos!$F$10)*[2]Datos!$K$6))))</f>
        <v>0</v>
      </c>
      <c r="P67" s="42"/>
      <c r="Q67" s="42"/>
      <c r="R67" s="42"/>
      <c r="S67" s="42">
        <f t="shared" si="1"/>
        <v>0</v>
      </c>
      <c r="T67" s="42">
        <f t="shared" si="2"/>
        <v>12000</v>
      </c>
      <c r="U67" s="196">
        <v>2320433693</v>
      </c>
      <c r="V67" s="323">
        <v>44927</v>
      </c>
    </row>
    <row r="68" spans="1:22" ht="16.5" customHeight="1" x14ac:dyDescent="0.25">
      <c r="A68" s="194"/>
      <c r="B68" s="195">
        <v>62</v>
      </c>
      <c r="C68" s="195" t="s">
        <v>1813</v>
      </c>
      <c r="D68" s="194" t="s">
        <v>1814</v>
      </c>
      <c r="E68" s="194" t="s">
        <v>86</v>
      </c>
      <c r="F68" s="194" t="s">
        <v>88</v>
      </c>
      <c r="G68" s="310">
        <v>1</v>
      </c>
      <c r="H68" s="324" t="s">
        <v>1067</v>
      </c>
      <c r="I68" s="194" t="s">
        <v>1532</v>
      </c>
      <c r="J68" s="59">
        <v>18000</v>
      </c>
      <c r="K68" s="48"/>
      <c r="L68" s="48"/>
      <c r="M68" s="42"/>
      <c r="N68" s="42">
        <f t="shared" si="0"/>
        <v>18000</v>
      </c>
      <c r="O68" s="60" t="str">
        <f>IF(N68&lt;=[2]Datos!$G$7,"0",IF(N68&lt;=[2]Datos!$G$8,(N68-[2]Datos!$F$8)*[2]Datos!$I$6,IF(N68&lt;=[2]Datos!$G$9,[2]Datos!$I$8+(N68-[2]Datos!$F$9)*[2]Datos!$J$6,IF(N68&gt;=[2]Datos!$F$10,([2]Datos!$I$8+[2]Datos!$J$8)+(N68-[2]Datos!$F$10)*[2]Datos!$K$6))))</f>
        <v>0</v>
      </c>
      <c r="P68" s="42"/>
      <c r="Q68" s="42"/>
      <c r="R68" s="42"/>
      <c r="S68" s="42">
        <f t="shared" si="1"/>
        <v>0</v>
      </c>
      <c r="T68" s="42">
        <f t="shared" si="2"/>
        <v>18000</v>
      </c>
      <c r="U68" s="196">
        <v>9605659307</v>
      </c>
      <c r="V68" s="323">
        <v>45597</v>
      </c>
    </row>
    <row r="69" spans="1:22" ht="16.5" customHeight="1" x14ac:dyDescent="0.25">
      <c r="A69" s="194"/>
      <c r="B69" s="195">
        <v>63</v>
      </c>
      <c r="C69" s="195" t="s">
        <v>1758</v>
      </c>
      <c r="D69" s="194" t="s">
        <v>1759</v>
      </c>
      <c r="E69" s="194" t="s">
        <v>86</v>
      </c>
      <c r="F69" s="194" t="s">
        <v>88</v>
      </c>
      <c r="G69" s="310">
        <v>1</v>
      </c>
      <c r="H69" s="324" t="s">
        <v>1067</v>
      </c>
      <c r="I69" s="194" t="s">
        <v>1532</v>
      </c>
      <c r="J69" s="59">
        <v>13000</v>
      </c>
      <c r="K69" s="48"/>
      <c r="L69" s="48"/>
      <c r="M69" s="42"/>
      <c r="N69" s="42">
        <f t="shared" si="0"/>
        <v>13000</v>
      </c>
      <c r="O69" s="60" t="str">
        <f>IF(N69&lt;=[2]Datos!$G$7,"0",IF(N69&lt;=[2]Datos!$G$8,(N69-[2]Datos!$F$8)*[2]Datos!$I$6,IF(N69&lt;=[2]Datos!$G$9,[2]Datos!$I$8+(N69-[2]Datos!$F$9)*[2]Datos!$J$6,IF(N69&gt;=[2]Datos!$F$10,([2]Datos!$I$8+[2]Datos!$J$8)+(N69-[2]Datos!$F$10)*[2]Datos!$K$6))))</f>
        <v>0</v>
      </c>
      <c r="P69" s="42"/>
      <c r="Q69" s="42"/>
      <c r="R69" s="42"/>
      <c r="S69" s="42">
        <f t="shared" si="1"/>
        <v>0</v>
      </c>
      <c r="T69" s="42">
        <f t="shared" si="2"/>
        <v>13000</v>
      </c>
      <c r="U69" s="196">
        <v>9604665641</v>
      </c>
      <c r="V69" s="323">
        <v>45566</v>
      </c>
    </row>
    <row r="70" spans="1:22" x14ac:dyDescent="0.25">
      <c r="A70" s="194"/>
      <c r="B70" s="195">
        <v>64</v>
      </c>
      <c r="C70" s="195" t="s">
        <v>1411</v>
      </c>
      <c r="D70" s="194" t="s">
        <v>1412</v>
      </c>
      <c r="E70" s="194" t="s">
        <v>86</v>
      </c>
      <c r="F70" s="194" t="s">
        <v>88</v>
      </c>
      <c r="G70" s="310">
        <v>1</v>
      </c>
      <c r="H70" s="324" t="s">
        <v>1067</v>
      </c>
      <c r="I70" s="194" t="s">
        <v>829</v>
      </c>
      <c r="J70" s="59">
        <v>12000</v>
      </c>
      <c r="K70" s="48"/>
      <c r="L70" s="48"/>
      <c r="M70" s="42"/>
      <c r="N70" s="42">
        <f t="shared" si="0"/>
        <v>12000</v>
      </c>
      <c r="O70" s="60" t="str">
        <f>IF(N70&lt;=[2]Datos!$G$7,"0",IF(N70&lt;=[2]Datos!$G$8,(N70-[2]Datos!$F$8)*[2]Datos!$I$6,IF(N70&lt;=[2]Datos!$G$9,[2]Datos!$I$8+(N70-[2]Datos!$F$9)*[2]Datos!$J$6,IF(N70&gt;=[2]Datos!$F$10,([2]Datos!$I$8+[2]Datos!$J$8)+(N70-[2]Datos!$F$10)*[2]Datos!$K$6))))</f>
        <v>0</v>
      </c>
      <c r="P70" s="42"/>
      <c r="Q70" s="42"/>
      <c r="R70" s="42"/>
      <c r="S70" s="42">
        <f t="shared" si="1"/>
        <v>0</v>
      </c>
      <c r="T70" s="42">
        <f t="shared" si="2"/>
        <v>12000</v>
      </c>
      <c r="U70" s="196">
        <v>2320398262</v>
      </c>
      <c r="V70" s="323">
        <v>45200</v>
      </c>
    </row>
    <row r="71" spans="1:22" x14ac:dyDescent="0.25">
      <c r="A71" s="194"/>
      <c r="B71" s="195">
        <v>65</v>
      </c>
      <c r="C71" s="195" t="s">
        <v>1481</v>
      </c>
      <c r="D71" s="194" t="s">
        <v>1477</v>
      </c>
      <c r="E71" s="194" t="s">
        <v>86</v>
      </c>
      <c r="F71" s="194" t="s">
        <v>88</v>
      </c>
      <c r="G71" s="310">
        <v>1</v>
      </c>
      <c r="H71" s="324" t="s">
        <v>1067</v>
      </c>
      <c r="I71" s="194" t="s">
        <v>829</v>
      </c>
      <c r="J71" s="59">
        <v>14000</v>
      </c>
      <c r="K71" s="48"/>
      <c r="L71" s="48"/>
      <c r="M71" s="42"/>
      <c r="N71" s="42">
        <f t="shared" si="0"/>
        <v>14000</v>
      </c>
      <c r="O71" s="60" t="str">
        <f>IF(N71&lt;=[2]Datos!$G$7,"0",IF(N71&lt;=[2]Datos!$G$8,(N71-[2]Datos!$F$8)*[2]Datos!$I$6,IF(N71&lt;=[2]Datos!$G$9,[2]Datos!$I$8+(N71-[2]Datos!$F$9)*[2]Datos!$J$6,IF(N71&gt;=[2]Datos!$F$10,([2]Datos!$I$8+[2]Datos!$J$8)+(N71-[2]Datos!$F$10)*[2]Datos!$K$6))))</f>
        <v>0</v>
      </c>
      <c r="P71" s="42"/>
      <c r="Q71" s="42"/>
      <c r="R71" s="42"/>
      <c r="S71" s="42">
        <f t="shared" si="1"/>
        <v>0</v>
      </c>
      <c r="T71" s="42">
        <f t="shared" si="2"/>
        <v>14000</v>
      </c>
      <c r="U71" s="196">
        <v>1001174087</v>
      </c>
      <c r="V71" s="323">
        <v>45323</v>
      </c>
    </row>
    <row r="72" spans="1:22" x14ac:dyDescent="0.25">
      <c r="A72" s="194"/>
      <c r="B72" s="195">
        <v>66</v>
      </c>
      <c r="C72" s="195" t="s">
        <v>546</v>
      </c>
      <c r="D72" s="194" t="s">
        <v>785</v>
      </c>
      <c r="E72" s="194" t="s">
        <v>86</v>
      </c>
      <c r="F72" s="194" t="s">
        <v>88</v>
      </c>
      <c r="G72" s="310">
        <v>1</v>
      </c>
      <c r="H72" s="324" t="s">
        <v>1062</v>
      </c>
      <c r="I72" s="194" t="s">
        <v>829</v>
      </c>
      <c r="J72" s="59">
        <v>13000</v>
      </c>
      <c r="K72" s="48"/>
      <c r="L72" s="48"/>
      <c r="M72" s="42"/>
      <c r="N72" s="42">
        <f t="shared" si="0"/>
        <v>13000</v>
      </c>
      <c r="O72" s="60" t="str">
        <f>IF(N72&lt;=[2]Datos!$G$7,"0",IF(N72&lt;=[2]Datos!$G$8,(N72-[2]Datos!$F$8)*[2]Datos!$I$6,IF(N72&lt;=[2]Datos!$G$9,[2]Datos!$I$8+(N72-[2]Datos!$F$9)*[2]Datos!$J$6,IF(N72&gt;=[2]Datos!$F$10,([2]Datos!$I$8+[2]Datos!$J$8)+(N72-[2]Datos!$F$10)*[2]Datos!$K$6))))</f>
        <v>0</v>
      </c>
      <c r="P72" s="42"/>
      <c r="Q72" s="42"/>
      <c r="R72" s="42"/>
      <c r="S72" s="42">
        <f t="shared" si="1"/>
        <v>0</v>
      </c>
      <c r="T72" s="42">
        <f t="shared" si="2"/>
        <v>13000</v>
      </c>
      <c r="U72" s="196" t="s">
        <v>307</v>
      </c>
      <c r="V72" s="323">
        <v>44197</v>
      </c>
    </row>
    <row r="73" spans="1:22" x14ac:dyDescent="0.25">
      <c r="A73" s="194"/>
      <c r="B73" s="195">
        <v>67</v>
      </c>
      <c r="C73" s="351" t="s">
        <v>1756</v>
      </c>
      <c r="D73" s="352" t="s">
        <v>1757</v>
      </c>
      <c r="E73" s="352" t="s">
        <v>86</v>
      </c>
      <c r="F73" s="352" t="s">
        <v>88</v>
      </c>
      <c r="G73" s="353">
        <v>1</v>
      </c>
      <c r="H73" s="354" t="s">
        <v>1067</v>
      </c>
      <c r="I73" s="352" t="s">
        <v>1532</v>
      </c>
      <c r="J73" s="355">
        <v>0</v>
      </c>
      <c r="K73" s="356"/>
      <c r="L73" s="356"/>
      <c r="M73" s="357"/>
      <c r="N73" s="357">
        <f t="shared" si="0"/>
        <v>0</v>
      </c>
      <c r="O73" s="358" t="str">
        <f>IF(N73&lt;=[2]Datos!$G$7,"0",IF(N73&lt;=[2]Datos!$G$8,(N73-[2]Datos!$F$8)*[2]Datos!$I$6,IF(N73&lt;=[2]Datos!$G$9,[2]Datos!$I$8+(N73-[2]Datos!$F$9)*[2]Datos!$J$6,IF(N73&gt;=[2]Datos!$F$10,([2]Datos!$I$8+[2]Datos!$J$8)+(N73-[2]Datos!$F$10)*[2]Datos!$K$6))))</f>
        <v>0</v>
      </c>
      <c r="P73" s="357"/>
      <c r="Q73" s="357"/>
      <c r="R73" s="357"/>
      <c r="S73" s="357">
        <f t="shared" si="1"/>
        <v>0</v>
      </c>
      <c r="T73" s="357">
        <f t="shared" si="2"/>
        <v>0</v>
      </c>
      <c r="U73" s="359">
        <v>2320414010</v>
      </c>
      <c r="V73" s="360">
        <v>45566</v>
      </c>
    </row>
    <row r="74" spans="1:22" x14ac:dyDescent="0.25">
      <c r="A74" s="194"/>
      <c r="B74" s="195">
        <v>68</v>
      </c>
      <c r="C74" s="195" t="s">
        <v>569</v>
      </c>
      <c r="D74" s="194" t="s">
        <v>808</v>
      </c>
      <c r="E74" s="194" t="s">
        <v>85</v>
      </c>
      <c r="F74" s="194" t="s">
        <v>88</v>
      </c>
      <c r="G74" s="195">
        <v>1</v>
      </c>
      <c r="H74" s="108" t="s">
        <v>1061</v>
      </c>
      <c r="I74" s="194" t="s">
        <v>829</v>
      </c>
      <c r="J74" s="59">
        <v>8500</v>
      </c>
      <c r="K74" s="48"/>
      <c r="L74" s="48"/>
      <c r="M74" s="42"/>
      <c r="N74" s="42">
        <f t="shared" si="0"/>
        <v>8500</v>
      </c>
      <c r="O74" s="60" t="str">
        <f>IF(N74&lt;=[2]Datos!$G$7,"0",IF(N74&lt;=[2]Datos!$G$8,(N74-[2]Datos!$F$8)*[2]Datos!$I$6,IF(N74&lt;=[2]Datos!$G$9,[2]Datos!$I$8+(N74-[2]Datos!$F$9)*[2]Datos!$J$6,IF(N74&gt;=[2]Datos!$F$10,([2]Datos!$I$8+[2]Datos!$J$8)+(N74-[2]Datos!$F$10)*[2]Datos!$K$6))))</f>
        <v>0</v>
      </c>
      <c r="P74" s="42"/>
      <c r="Q74" s="42"/>
      <c r="R74" s="42"/>
      <c r="S74" s="42">
        <f t="shared" si="1"/>
        <v>0</v>
      </c>
      <c r="T74" s="42">
        <f t="shared" si="2"/>
        <v>8500</v>
      </c>
      <c r="U74" s="196" t="s">
        <v>329</v>
      </c>
      <c r="V74" s="323">
        <v>44197</v>
      </c>
    </row>
    <row r="75" spans="1:22" x14ac:dyDescent="0.25">
      <c r="A75" s="194"/>
      <c r="B75" s="195">
        <v>69</v>
      </c>
      <c r="C75" s="195" t="s">
        <v>1689</v>
      </c>
      <c r="D75" s="194" t="s">
        <v>1690</v>
      </c>
      <c r="E75" s="194" t="s">
        <v>86</v>
      </c>
      <c r="F75" s="194" t="s">
        <v>88</v>
      </c>
      <c r="G75" s="195">
        <v>1</v>
      </c>
      <c r="H75" s="108" t="s">
        <v>1686</v>
      </c>
      <c r="I75" s="194" t="s">
        <v>1532</v>
      </c>
      <c r="J75" s="59">
        <v>13000</v>
      </c>
      <c r="K75" s="48"/>
      <c r="L75" s="48"/>
      <c r="M75" s="42"/>
      <c r="N75" s="42">
        <f t="shared" si="0"/>
        <v>13000</v>
      </c>
      <c r="O75" s="60" t="str">
        <f>IF(N75&lt;=[2]Datos!$G$7,"0",IF(N75&lt;=[2]Datos!$G$8,(N75-[2]Datos!$F$8)*[2]Datos!$I$6,IF(N75&lt;=[2]Datos!$G$9,[2]Datos!$I$8+(N75-[2]Datos!$F$9)*[2]Datos!$J$6,IF(N75&gt;=[2]Datos!$F$10,([2]Datos!$I$8+[2]Datos!$J$8)+(N75-[2]Datos!$F$10)*[2]Datos!$K$6))))</f>
        <v>0</v>
      </c>
      <c r="P75" s="42"/>
      <c r="Q75" s="42"/>
      <c r="R75" s="42"/>
      <c r="S75" s="42">
        <f t="shared" si="1"/>
        <v>0</v>
      </c>
      <c r="T75" s="42">
        <f t="shared" si="2"/>
        <v>13000</v>
      </c>
      <c r="U75" s="196">
        <v>5800313616</v>
      </c>
      <c r="V75" s="323">
        <v>45536</v>
      </c>
    </row>
    <row r="76" spans="1:22" ht="16.5" thickBot="1" x14ac:dyDescent="0.3">
      <c r="D76" s="50"/>
      <c r="E76" s="50"/>
      <c r="F76" s="50"/>
      <c r="G76" s="50"/>
      <c r="H76" s="50"/>
      <c r="I76" s="50"/>
      <c r="J76" s="51"/>
      <c r="K76" s="52"/>
      <c r="L76" s="53"/>
      <c r="M76" s="54"/>
      <c r="N76" s="54"/>
      <c r="O76" s="55"/>
      <c r="P76" s="54"/>
      <c r="Q76" s="54"/>
      <c r="R76" s="54"/>
      <c r="S76" s="54"/>
      <c r="T76" s="51"/>
    </row>
    <row r="77" spans="1:22" ht="16.5" thickBot="1" x14ac:dyDescent="0.3">
      <c r="B77" s="415" t="s">
        <v>41</v>
      </c>
      <c r="C77" s="416"/>
      <c r="D77" s="416"/>
      <c r="E77" s="417"/>
      <c r="F77" s="136"/>
      <c r="G77" s="136"/>
      <c r="H77" s="136"/>
      <c r="I77" s="136"/>
      <c r="J77" s="70">
        <f t="shared" ref="J77:T77" si="5">SUM(J7:J76)</f>
        <v>947000</v>
      </c>
      <c r="K77" s="70">
        <f t="shared" si="5"/>
        <v>0</v>
      </c>
      <c r="L77" s="70">
        <f t="shared" si="5"/>
        <v>0</v>
      </c>
      <c r="M77" s="70">
        <f t="shared" si="5"/>
        <v>0</v>
      </c>
      <c r="N77" s="70">
        <f t="shared" si="5"/>
        <v>947000</v>
      </c>
      <c r="O77" s="70">
        <f t="shared" si="5"/>
        <v>2391.7454999999991</v>
      </c>
      <c r="P77" s="70">
        <f t="shared" si="5"/>
        <v>0</v>
      </c>
      <c r="Q77" s="70">
        <f t="shared" si="5"/>
        <v>0</v>
      </c>
      <c r="R77" s="70">
        <f t="shared" si="5"/>
        <v>0</v>
      </c>
      <c r="S77" s="70">
        <f t="shared" si="5"/>
        <v>2391.7454999999991</v>
      </c>
      <c r="T77" s="70">
        <f t="shared" si="5"/>
        <v>944608.25450000004</v>
      </c>
    </row>
    <row r="78" spans="1:22" ht="16.5" thickBot="1" x14ac:dyDescent="0.3"/>
    <row r="79" spans="1:22" ht="16.5" thickBot="1" x14ac:dyDescent="0.3">
      <c r="B79" s="400" t="s">
        <v>869</v>
      </c>
      <c r="C79" s="401"/>
      <c r="D79" s="401"/>
      <c r="E79" s="402"/>
      <c r="F79" s="94"/>
      <c r="G79" s="94"/>
      <c r="H79" s="94"/>
      <c r="I79" s="94"/>
      <c r="J79" s="78">
        <v>688000</v>
      </c>
      <c r="K79" s="78">
        <f>SUM(K13:K77)</f>
        <v>0</v>
      </c>
      <c r="L79" s="78">
        <f>SUM(L13:L77)</f>
        <v>0</v>
      </c>
      <c r="M79" s="78">
        <f>SUM(M13:M77)</f>
        <v>0</v>
      </c>
      <c r="N79" s="78">
        <v>688000</v>
      </c>
      <c r="O79" s="78">
        <v>2391.75</v>
      </c>
      <c r="P79" s="78">
        <v>0</v>
      </c>
      <c r="Q79" s="78">
        <v>0</v>
      </c>
      <c r="R79" s="78">
        <v>0</v>
      </c>
      <c r="S79" s="78">
        <f>SUM(O79:Q79)+(K79+L79+M79)-R79</f>
        <v>2391.75</v>
      </c>
      <c r="T79" s="78">
        <v>706608.25</v>
      </c>
    </row>
    <row r="80" spans="1:22" x14ac:dyDescent="0.25">
      <c r="J80" s="62">
        <f>+J79-J77</f>
        <v>-259000</v>
      </c>
      <c r="K80" s="62">
        <f t="shared" ref="K80:T80" si="6">+K79-K77</f>
        <v>0</v>
      </c>
      <c r="L80" s="62">
        <f t="shared" si="6"/>
        <v>0</v>
      </c>
      <c r="M80" s="62">
        <f t="shared" si="6"/>
        <v>0</v>
      </c>
      <c r="N80" s="62">
        <f t="shared" si="6"/>
        <v>-259000</v>
      </c>
      <c r="O80" s="62">
        <f t="shared" si="6"/>
        <v>4.5000000009167707E-3</v>
      </c>
      <c r="P80" s="62">
        <f t="shared" si="6"/>
        <v>0</v>
      </c>
      <c r="Q80" s="62">
        <f t="shared" si="6"/>
        <v>0</v>
      </c>
      <c r="R80" s="62">
        <f t="shared" si="6"/>
        <v>0</v>
      </c>
      <c r="S80" s="62">
        <f t="shared" si="6"/>
        <v>4.5000000009167707E-3</v>
      </c>
      <c r="T80" s="62">
        <f t="shared" si="6"/>
        <v>-238000.00450000004</v>
      </c>
    </row>
    <row r="81" spans="10:21" customFormat="1" ht="15" x14ac:dyDescent="0.25"/>
    <row r="82" spans="10:21" customFormat="1" ht="15" x14ac:dyDescent="0.25"/>
    <row r="83" spans="10:21" customFormat="1" ht="15" x14ac:dyDescent="0.25"/>
    <row r="84" spans="10:21" customFormat="1" ht="15" x14ac:dyDescent="0.25"/>
    <row r="85" spans="10:21" customFormat="1" ht="15" x14ac:dyDescent="0.25">
      <c r="U85" t="s">
        <v>1517</v>
      </c>
    </row>
    <row r="86" spans="10:21" x14ac:dyDescent="0.25">
      <c r="J86" s="62"/>
    </row>
    <row r="87" spans="10:21" x14ac:dyDescent="0.25">
      <c r="J87" s="63"/>
    </row>
  </sheetData>
  <mergeCells count="4">
    <mergeCell ref="B3:T3"/>
    <mergeCell ref="B4:T4"/>
    <mergeCell ref="B77:E77"/>
    <mergeCell ref="B79:E79"/>
  </mergeCells>
  <pageMargins left="0.70866141732283505" right="0.70866141732283505" top="0.74803149606299202" bottom="0.74803149606299202" header="0.31496062992126" footer="0.31496062992126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7:M43"/>
  <sheetViews>
    <sheetView showGridLines="0" topLeftCell="A13" zoomScale="84" zoomScaleNormal="84" zoomScaleSheetLayoutView="100" workbookViewId="0">
      <selection activeCell="N22" sqref="N22"/>
    </sheetView>
  </sheetViews>
  <sheetFormatPr baseColWidth="10" defaultColWidth="11.42578125" defaultRowHeight="15" x14ac:dyDescent="0.25"/>
  <cols>
    <col min="1" max="1" width="9.85546875" style="123" customWidth="1"/>
    <col min="2" max="2" width="16.42578125" style="124" customWidth="1"/>
    <col min="3" max="3" width="29.28515625" style="125" customWidth="1"/>
    <col min="4" max="4" width="12" style="125" customWidth="1"/>
    <col min="5" max="5" width="13.28515625" style="125" bestFit="1" customWidth="1"/>
    <col min="6" max="6" width="25.5703125" style="125" customWidth="1"/>
    <col min="7" max="9" width="22" style="130" customWidth="1"/>
    <col min="10" max="10" width="23.140625" style="125" customWidth="1"/>
    <col min="11" max="11" width="18.28515625" style="116" customWidth="1"/>
    <col min="12" max="12" width="11.42578125" style="116"/>
    <col min="13" max="13" width="12.28515625" style="116" bestFit="1" customWidth="1"/>
    <col min="14" max="16384" width="11.42578125" style="116"/>
  </cols>
  <sheetData>
    <row r="7" spans="1:13" x14ac:dyDescent="0.25">
      <c r="G7" s="126"/>
      <c r="H7" s="126"/>
      <c r="I7" s="126"/>
    </row>
    <row r="8" spans="1:13" x14ac:dyDescent="0.25">
      <c r="A8" s="112" t="s">
        <v>1960</v>
      </c>
      <c r="B8" s="113"/>
      <c r="C8" s="114"/>
      <c r="D8" s="114"/>
      <c r="E8" s="114"/>
      <c r="F8" s="114"/>
      <c r="G8" s="115"/>
      <c r="H8" s="115"/>
      <c r="I8" s="115"/>
      <c r="J8" s="114"/>
      <c r="K8" s="115"/>
    </row>
    <row r="9" spans="1:13" x14ac:dyDescent="0.25">
      <c r="A9" s="116" t="s">
        <v>1200</v>
      </c>
      <c r="B9" s="116" t="s">
        <v>1201</v>
      </c>
      <c r="C9" s="116"/>
      <c r="D9" s="116"/>
      <c r="E9" s="116"/>
      <c r="F9" s="116"/>
      <c r="G9" s="116"/>
      <c r="H9" s="116"/>
      <c r="I9" s="116"/>
      <c r="J9" s="116"/>
    </row>
    <row r="10" spans="1:13" s="118" customFormat="1" ht="30" x14ac:dyDescent="0.25">
      <c r="A10" s="97" t="s">
        <v>1166</v>
      </c>
      <c r="B10" s="97" t="s">
        <v>1167</v>
      </c>
      <c r="C10" s="97" t="s">
        <v>1168</v>
      </c>
      <c r="D10" s="97" t="s">
        <v>1197</v>
      </c>
      <c r="E10" s="97" t="s">
        <v>1169</v>
      </c>
      <c r="F10" s="97" t="s">
        <v>1170</v>
      </c>
      <c r="G10" s="97" t="s">
        <v>1171</v>
      </c>
      <c r="H10" s="117" t="s">
        <v>1185</v>
      </c>
      <c r="I10" s="117" t="s">
        <v>1172</v>
      </c>
      <c r="J10" s="97" t="s">
        <v>1174</v>
      </c>
      <c r="K10" s="97" t="s">
        <v>1175</v>
      </c>
    </row>
    <row r="11" spans="1:13" ht="45" x14ac:dyDescent="0.25">
      <c r="A11" s="119">
        <v>1</v>
      </c>
      <c r="B11" s="108" t="s">
        <v>1966</v>
      </c>
      <c r="C11" s="285" t="s">
        <v>1967</v>
      </c>
      <c r="D11" s="121">
        <v>1</v>
      </c>
      <c r="E11" s="121" t="s">
        <v>829</v>
      </c>
      <c r="F11" s="192" t="s">
        <v>1532</v>
      </c>
      <c r="G11" s="170" t="s">
        <v>44</v>
      </c>
      <c r="H11" s="171">
        <v>13000</v>
      </c>
      <c r="I11" s="171">
        <v>13000</v>
      </c>
      <c r="J11" s="241" t="s">
        <v>1964</v>
      </c>
      <c r="K11" s="263" t="s">
        <v>1965</v>
      </c>
    </row>
    <row r="12" spans="1:13" ht="30" customHeight="1" x14ac:dyDescent="0.25">
      <c r="A12" s="175"/>
      <c r="B12" s="176"/>
      <c r="C12" s="178"/>
      <c r="D12" s="177"/>
      <c r="E12" s="177"/>
      <c r="F12" s="178"/>
      <c r="G12" s="116"/>
      <c r="H12" s="179">
        <f>SUM(H11:H11)</f>
        <v>13000</v>
      </c>
      <c r="I12" s="179">
        <f>SUM(I11:I11)</f>
        <v>13000</v>
      </c>
      <c r="J12" s="180"/>
    </row>
    <row r="13" spans="1:13" ht="30" customHeight="1" x14ac:dyDescent="0.25">
      <c r="B13" s="123"/>
      <c r="C13" s="123"/>
      <c r="D13" s="123"/>
      <c r="E13" s="123"/>
      <c r="F13" s="123"/>
      <c r="G13" s="123"/>
      <c r="H13" s="123"/>
      <c r="I13" s="123"/>
      <c r="J13" s="123"/>
    </row>
    <row r="14" spans="1:13" x14ac:dyDescent="0.25">
      <c r="A14" s="112" t="s">
        <v>1953</v>
      </c>
      <c r="B14" s="113"/>
      <c r="C14" s="114"/>
      <c r="D14" s="114"/>
      <c r="E14" s="114"/>
      <c r="F14" s="114"/>
      <c r="G14" s="115"/>
      <c r="H14" s="115"/>
      <c r="I14" s="115"/>
      <c r="J14" s="114"/>
      <c r="K14" s="115"/>
    </row>
    <row r="15" spans="1:13" x14ac:dyDescent="0.25">
      <c r="A15" s="116" t="s">
        <v>1200</v>
      </c>
      <c r="B15" s="116" t="s">
        <v>1201</v>
      </c>
      <c r="C15" s="116"/>
      <c r="D15" s="116"/>
      <c r="E15" s="116"/>
      <c r="F15" s="116"/>
      <c r="G15" s="116"/>
      <c r="H15" s="116"/>
      <c r="I15" s="116"/>
      <c r="J15" s="116"/>
    </row>
    <row r="16" spans="1:13" s="118" customFormat="1" ht="45" x14ac:dyDescent="0.25">
      <c r="A16" s="97" t="s">
        <v>1166</v>
      </c>
      <c r="B16" s="97" t="s">
        <v>1167</v>
      </c>
      <c r="C16" s="97" t="s">
        <v>1168</v>
      </c>
      <c r="D16" s="97" t="s">
        <v>1169</v>
      </c>
      <c r="E16" s="97" t="s">
        <v>1197</v>
      </c>
      <c r="F16" s="97" t="s">
        <v>1170</v>
      </c>
      <c r="G16" s="117" t="s">
        <v>1171</v>
      </c>
      <c r="H16" s="117" t="s">
        <v>1470</v>
      </c>
      <c r="I16" s="117" t="s">
        <v>1173</v>
      </c>
      <c r="J16" s="97" t="s">
        <v>1186</v>
      </c>
      <c r="K16" s="97" t="s">
        <v>1174</v>
      </c>
      <c r="L16" s="97" t="s">
        <v>1175</v>
      </c>
      <c r="M16" s="116"/>
    </row>
    <row r="17" spans="1:12" x14ac:dyDescent="0.25">
      <c r="A17" s="119"/>
      <c r="B17" s="108"/>
      <c r="C17" s="181"/>
      <c r="D17" s="121"/>
      <c r="E17" s="121"/>
      <c r="F17" s="192"/>
      <c r="G17" s="170"/>
      <c r="H17" s="122"/>
      <c r="I17" s="132"/>
      <c r="J17" s="132"/>
      <c r="K17" s="132"/>
      <c r="L17" s="132"/>
    </row>
    <row r="18" spans="1:12" x14ac:dyDescent="0.25">
      <c r="A18" s="127"/>
      <c r="C18" s="178"/>
      <c r="D18" s="128"/>
      <c r="E18" s="128"/>
      <c r="F18" s="177"/>
      <c r="G18" s="178"/>
      <c r="H18" s="151">
        <f>SUM(H17)</f>
        <v>0</v>
      </c>
      <c r="I18" s="260">
        <f>SUM(I17)</f>
        <v>0</v>
      </c>
      <c r="J18" s="260">
        <f>SUM(J17)</f>
        <v>0</v>
      </c>
      <c r="K18" s="259"/>
      <c r="L18" s="259"/>
    </row>
    <row r="19" spans="1:12" ht="30" customHeight="1" x14ac:dyDescent="0.25">
      <c r="G19" s="126"/>
      <c r="H19" s="126"/>
      <c r="I19" s="126"/>
    </row>
    <row r="20" spans="1:12" x14ac:dyDescent="0.25">
      <c r="A20" s="112" t="s">
        <v>1959</v>
      </c>
      <c r="B20" s="113"/>
      <c r="C20" s="114"/>
      <c r="D20" s="114"/>
      <c r="E20" s="114"/>
      <c r="F20" s="114"/>
      <c r="G20" s="114"/>
      <c r="H20" s="115"/>
      <c r="I20" s="115"/>
      <c r="J20"/>
      <c r="K20"/>
    </row>
    <row r="21" spans="1:12" ht="14.25" customHeight="1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L21"/>
    </row>
    <row r="22" spans="1:12" ht="45" x14ac:dyDescent="0.25">
      <c r="A22" s="97" t="s">
        <v>1166</v>
      </c>
      <c r="B22" s="97" t="s">
        <v>1167</v>
      </c>
      <c r="C22" s="97" t="s">
        <v>1168</v>
      </c>
      <c r="D22" s="97" t="s">
        <v>1169</v>
      </c>
      <c r="E22" s="97" t="s">
        <v>1197</v>
      </c>
      <c r="F22" s="97" t="s">
        <v>1170</v>
      </c>
      <c r="G22" s="117" t="s">
        <v>1171</v>
      </c>
      <c r="H22" s="117" t="s">
        <v>1174</v>
      </c>
      <c r="I22" s="117" t="s">
        <v>1275</v>
      </c>
      <c r="J22" s="248" t="s">
        <v>1455</v>
      </c>
      <c r="K22"/>
    </row>
    <row r="23" spans="1:12" ht="45" x14ac:dyDescent="0.25">
      <c r="A23" s="119">
        <v>1</v>
      </c>
      <c r="B23" s="108" t="s">
        <v>1815</v>
      </c>
      <c r="C23" s="120" t="s">
        <v>1816</v>
      </c>
      <c r="D23" s="121">
        <v>1</v>
      </c>
      <c r="E23" s="121" t="s">
        <v>829</v>
      </c>
      <c r="F23" s="121" t="s">
        <v>1532</v>
      </c>
      <c r="G23" s="121" t="s">
        <v>44</v>
      </c>
      <c r="H23" s="241" t="s">
        <v>1964</v>
      </c>
      <c r="I23" s="241">
        <v>13000</v>
      </c>
      <c r="J23" s="262">
        <v>45657</v>
      </c>
      <c r="K23"/>
    </row>
    <row r="24" spans="1:12" ht="45" x14ac:dyDescent="0.25">
      <c r="A24" s="119">
        <v>2</v>
      </c>
      <c r="B24" s="108" t="s">
        <v>1756</v>
      </c>
      <c r="C24" s="120" t="s">
        <v>1757</v>
      </c>
      <c r="D24" s="121">
        <v>1</v>
      </c>
      <c r="E24" s="121" t="s">
        <v>829</v>
      </c>
      <c r="F24" s="121" t="s">
        <v>1532</v>
      </c>
      <c r="G24" s="121" t="s">
        <v>44</v>
      </c>
      <c r="H24" s="241" t="s">
        <v>1964</v>
      </c>
      <c r="I24" s="241">
        <v>13000</v>
      </c>
      <c r="J24" s="262">
        <v>45657</v>
      </c>
      <c r="K24"/>
    </row>
    <row r="25" spans="1:12" x14ac:dyDescent="0.25">
      <c r="A25"/>
      <c r="B25"/>
      <c r="C25"/>
      <c r="D25"/>
      <c r="E25"/>
      <c r="F25"/>
      <c r="G25"/>
      <c r="H25"/>
      <c r="I25" s="152">
        <f>SUM(I23:I24)</f>
        <v>26000</v>
      </c>
      <c r="J25"/>
      <c r="K25"/>
    </row>
    <row r="26" spans="1:12" customFormat="1" x14ac:dyDescent="0.25">
      <c r="L26" s="116"/>
    </row>
    <row r="27" spans="1:12" customFormat="1" x14ac:dyDescent="0.25"/>
    <row r="28" spans="1:12" customFormat="1" x14ac:dyDescent="0.25"/>
    <row r="29" spans="1:12" customFormat="1" x14ac:dyDescent="0.25">
      <c r="C29" s="418"/>
      <c r="D29" s="418"/>
      <c r="H29" s="418"/>
      <c r="I29" s="418"/>
      <c r="J29" s="125"/>
    </row>
    <row r="30" spans="1:12" customFormat="1" x14ac:dyDescent="0.25">
      <c r="A30" s="123"/>
      <c r="B30" s="123"/>
      <c r="C30" s="405" t="s">
        <v>1486</v>
      </c>
      <c r="D30" s="405"/>
      <c r="E30" s="123"/>
      <c r="F30" s="123"/>
      <c r="G30" s="123"/>
      <c r="H30" s="404" t="s">
        <v>1227</v>
      </c>
      <c r="I30" s="404"/>
      <c r="J30" s="125"/>
      <c r="K30" s="123"/>
    </row>
    <row r="31" spans="1:12" customFormat="1" x14ac:dyDescent="0.25">
      <c r="A31" s="123"/>
      <c r="B31" s="123"/>
      <c r="C31" s="406" t="s">
        <v>1487</v>
      </c>
      <c r="D31" s="406"/>
      <c r="E31" s="123"/>
      <c r="F31" s="123"/>
      <c r="G31" s="123"/>
      <c r="H31" s="406" t="s">
        <v>1225</v>
      </c>
      <c r="I31" s="406"/>
      <c r="J31" s="125"/>
      <c r="K31" s="123"/>
    </row>
    <row r="32" spans="1:12" s="123" customFormat="1" x14ac:dyDescent="0.25"/>
    <row r="33" spans="1:13" s="123" customFormat="1" x14ac:dyDescent="0.25">
      <c r="A33" s="127"/>
      <c r="B33" s="124"/>
      <c r="C33" s="125"/>
      <c r="D33" s="125"/>
      <c r="E33" s="128"/>
      <c r="F33" s="125"/>
      <c r="G33" s="129"/>
      <c r="H33" s="129"/>
      <c r="I33"/>
      <c r="J33"/>
      <c r="K33"/>
    </row>
    <row r="34" spans="1:13" s="123" customFormat="1" ht="30" x14ac:dyDescent="0.25">
      <c r="B34" s="124"/>
      <c r="C34" s="125"/>
      <c r="D34" s="125"/>
      <c r="E34" s="125"/>
      <c r="F34" s="125"/>
      <c r="G34" s="126" t="s">
        <v>1837</v>
      </c>
      <c r="H34" s="126">
        <v>960000</v>
      </c>
      <c r="I34" s="130"/>
      <c r="J34" s="125"/>
      <c r="K34" s="116"/>
    </row>
    <row r="35" spans="1:13" x14ac:dyDescent="0.25">
      <c r="H35" s="126"/>
    </row>
    <row r="36" spans="1:13" s="130" customFormat="1" x14ac:dyDescent="0.25">
      <c r="A36" s="123"/>
      <c r="B36" s="124"/>
      <c r="C36" s="125"/>
      <c r="D36" s="125"/>
      <c r="E36" s="125"/>
      <c r="F36" s="125"/>
      <c r="G36" s="130" t="s">
        <v>1199</v>
      </c>
      <c r="H36" s="158">
        <f>+I12</f>
        <v>13000</v>
      </c>
      <c r="J36" s="125"/>
      <c r="K36" s="116"/>
      <c r="L36" s="116"/>
      <c r="M36" s="116"/>
    </row>
    <row r="37" spans="1:13" s="130" customFormat="1" x14ac:dyDescent="0.25">
      <c r="A37" s="123"/>
      <c r="B37" s="124"/>
      <c r="C37" s="125"/>
      <c r="D37" s="125"/>
      <c r="E37" s="125"/>
      <c r="F37" s="125"/>
      <c r="G37" s="130" t="s">
        <v>1230</v>
      </c>
      <c r="H37" s="158">
        <f>+J18</f>
        <v>0</v>
      </c>
      <c r="J37" s="125"/>
      <c r="K37" s="116"/>
      <c r="L37" s="116"/>
      <c r="M37" s="116"/>
    </row>
    <row r="38" spans="1:13" s="130" customFormat="1" ht="15.75" thickBot="1" x14ac:dyDescent="0.3">
      <c r="A38" s="123"/>
      <c r="B38" s="124"/>
      <c r="C38" s="125"/>
      <c r="D38" s="125"/>
      <c r="E38" s="125"/>
      <c r="F38" s="125"/>
      <c r="G38" s="130" t="s">
        <v>1198</v>
      </c>
      <c r="H38" s="131">
        <f>+I25</f>
        <v>26000</v>
      </c>
      <c r="J38" s="125"/>
      <c r="K38" s="116"/>
      <c r="L38" s="116"/>
      <c r="M38" s="116"/>
    </row>
    <row r="39" spans="1:13" ht="15.75" thickTop="1" x14ac:dyDescent="0.25">
      <c r="G39" s="116"/>
      <c r="H39" s="158">
        <f>+H36+H37-H38</f>
        <v>-13000</v>
      </c>
    </row>
    <row r="40" spans="1:13" s="130" customFormat="1" ht="28.5" customHeight="1" x14ac:dyDescent="0.25">
      <c r="A40" s="123"/>
      <c r="B40" s="124"/>
      <c r="C40" s="125"/>
      <c r="D40" s="125"/>
      <c r="E40" s="125"/>
      <c r="F40" s="125"/>
      <c r="H40" s="126"/>
      <c r="J40" s="125"/>
      <c r="K40" s="116"/>
      <c r="L40" s="116"/>
      <c r="M40" s="116"/>
    </row>
    <row r="41" spans="1:13" s="130" customFormat="1" ht="15.75" thickBot="1" x14ac:dyDescent="0.3">
      <c r="A41" s="123"/>
      <c r="B41" s="124"/>
      <c r="C41" s="125"/>
      <c r="D41" s="125"/>
      <c r="E41" s="125"/>
      <c r="F41" s="125"/>
      <c r="G41" s="126" t="s">
        <v>1951</v>
      </c>
      <c r="H41" s="251">
        <f>+'Nómina CAID Seguridad'!J77</f>
        <v>947000</v>
      </c>
      <c r="J41" s="125"/>
      <c r="K41" s="116"/>
      <c r="L41" s="116"/>
      <c r="M41" s="116"/>
    </row>
    <row r="42" spans="1:13" ht="15.75" thickTop="1" x14ac:dyDescent="0.25">
      <c r="G42" s="126"/>
      <c r="H42" s="126"/>
    </row>
    <row r="43" spans="1:13" x14ac:dyDescent="0.25">
      <c r="H43" s="126">
        <f>+H34+H39</f>
        <v>947000</v>
      </c>
    </row>
  </sheetData>
  <mergeCells count="6">
    <mergeCell ref="H29:I29"/>
    <mergeCell ref="H30:I30"/>
    <mergeCell ref="H31:I31"/>
    <mergeCell ref="C31:D31"/>
    <mergeCell ref="C30:D30"/>
    <mergeCell ref="C29:D29"/>
  </mergeCells>
  <phoneticPr fontId="29" type="noConversion"/>
  <printOptions horizontalCentered="1" verticalCentered="1"/>
  <pageMargins left="1" right="1" top="0" bottom="1.5" header="0" footer="0"/>
  <pageSetup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Y44"/>
  <sheetViews>
    <sheetView showGridLines="0" zoomScale="90" zoomScaleNormal="90" workbookViewId="0">
      <pane xSplit="4" ySplit="7" topLeftCell="L20" activePane="bottomRight" state="frozen"/>
      <selection pane="topRight" activeCell="E1" sqref="E1"/>
      <selection pane="bottomLeft" activeCell="A9" sqref="A9"/>
      <selection pane="bottomRight" activeCell="Q21" sqref="Q21"/>
    </sheetView>
  </sheetViews>
  <sheetFormatPr baseColWidth="10" defaultColWidth="11.42578125" defaultRowHeight="15.75" x14ac:dyDescent="0.25"/>
  <cols>
    <col min="1" max="1" width="1.28515625" style="14" customWidth="1"/>
    <col min="2" max="2" width="13.140625" style="43" customWidth="1"/>
    <col min="3" max="3" width="23" style="43" customWidth="1"/>
    <col min="4" max="4" width="42.5703125" style="14" customWidth="1"/>
    <col min="5" max="5" width="15.28515625" style="14" customWidth="1"/>
    <col min="6" max="7" width="13" style="14" customWidth="1"/>
    <col min="8" max="8" width="46.140625" style="142" customWidth="1"/>
    <col min="9" max="9" width="31.140625" style="14" customWidth="1"/>
    <col min="10" max="10" width="32.85546875" style="14" customWidth="1"/>
    <col min="11" max="11" width="18.140625" style="14" customWidth="1"/>
    <col min="12" max="12" width="16.28515625" style="14" customWidth="1"/>
    <col min="13" max="13" width="17" style="14" customWidth="1"/>
    <col min="14" max="14" width="22" style="14" customWidth="1"/>
    <col min="15" max="15" width="22.42578125" style="14" customWidth="1"/>
    <col min="16" max="17" width="16" style="14" customWidth="1"/>
    <col min="18" max="18" width="14" style="14" customWidth="1"/>
    <col min="19" max="19" width="30.140625" style="14" customWidth="1"/>
    <col min="20" max="20" width="23.85546875" style="14" customWidth="1"/>
    <col min="21" max="21" width="18.140625" style="14" customWidth="1"/>
    <col min="22" max="22" width="22.85546875" style="14" customWidth="1"/>
    <col min="23" max="23" width="26" style="58" customWidth="1"/>
    <col min="24" max="24" width="28.85546875" style="14" customWidth="1"/>
    <col min="25" max="25" width="13.140625" style="14" bestFit="1" customWidth="1"/>
    <col min="26" max="26" width="11.42578125" style="14"/>
    <col min="27" max="27" width="23.140625" style="14" bestFit="1" customWidth="1"/>
    <col min="28" max="16384" width="11.42578125" style="14"/>
  </cols>
  <sheetData>
    <row r="3" spans="1:25" x14ac:dyDescent="0.25">
      <c r="B3" s="408" t="s">
        <v>44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9"/>
      <c r="W3" s="56"/>
      <c r="X3" s="49"/>
    </row>
    <row r="4" spans="1:25" x14ac:dyDescent="0.25">
      <c r="B4" s="408" t="s">
        <v>1950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9"/>
      <c r="W4" s="56"/>
      <c r="X4" s="49"/>
      <c r="Y4" s="49"/>
    </row>
    <row r="5" spans="1:25" ht="17.25" customHeight="1" thickBot="1" x14ac:dyDescent="0.3">
      <c r="D5" s="15"/>
      <c r="E5" s="15"/>
      <c r="F5" s="15"/>
      <c r="G5" s="15"/>
      <c r="H5" s="140"/>
      <c r="I5" s="15"/>
      <c r="J5" s="15"/>
      <c r="K5" s="15"/>
      <c r="L5" s="15"/>
      <c r="M5" s="15"/>
      <c r="N5" s="15"/>
      <c r="O5" s="15"/>
      <c r="P5" s="15"/>
      <c r="Q5" s="15"/>
      <c r="R5" s="17"/>
      <c r="S5" s="17"/>
      <c r="T5" s="15"/>
      <c r="U5" s="15"/>
      <c r="V5" s="15"/>
      <c r="W5" s="57"/>
      <c r="X5" s="15"/>
      <c r="Y5" s="15"/>
    </row>
    <row r="6" spans="1:25" s="30" customFormat="1" ht="46.5" customHeight="1" thickBot="1" x14ac:dyDescent="0.3">
      <c r="B6" s="86" t="s">
        <v>9</v>
      </c>
      <c r="C6" s="87" t="s">
        <v>45</v>
      </c>
      <c r="D6" s="88" t="s">
        <v>0</v>
      </c>
      <c r="E6" s="89" t="s">
        <v>46</v>
      </c>
      <c r="F6" s="87" t="s">
        <v>47</v>
      </c>
      <c r="G6" s="87" t="s">
        <v>1194</v>
      </c>
      <c r="H6" s="87" t="s">
        <v>1204</v>
      </c>
      <c r="I6" s="87" t="s">
        <v>1063</v>
      </c>
      <c r="J6" s="89" t="s">
        <v>866</v>
      </c>
      <c r="K6" s="90" t="s">
        <v>8</v>
      </c>
      <c r="L6" s="90" t="s">
        <v>868</v>
      </c>
      <c r="M6" s="90" t="s">
        <v>867</v>
      </c>
      <c r="N6" s="90" t="s">
        <v>1059</v>
      </c>
      <c r="O6" s="90" t="s">
        <v>36</v>
      </c>
      <c r="P6" s="90" t="s">
        <v>1</v>
      </c>
      <c r="Q6" s="90" t="s">
        <v>1038</v>
      </c>
      <c r="R6" s="90" t="s">
        <v>6</v>
      </c>
      <c r="S6" s="90" t="s">
        <v>43</v>
      </c>
      <c r="T6" s="90" t="s">
        <v>4</v>
      </c>
      <c r="U6" s="91" t="s">
        <v>5</v>
      </c>
      <c r="V6" s="91" t="s">
        <v>826</v>
      </c>
      <c r="W6" s="92" t="s">
        <v>825</v>
      </c>
      <c r="X6" s="93" t="s">
        <v>892</v>
      </c>
    </row>
    <row r="7" spans="1:25" s="135" customFormat="1" ht="18" customHeight="1" x14ac:dyDescent="0.25">
      <c r="A7" s="133"/>
      <c r="B7" s="154">
        <v>1</v>
      </c>
      <c r="C7" s="198" t="s">
        <v>1560</v>
      </c>
      <c r="D7" s="325" t="s">
        <v>68</v>
      </c>
      <c r="E7" s="326" t="s">
        <v>85</v>
      </c>
      <c r="F7" s="326" t="s">
        <v>897</v>
      </c>
      <c r="G7" s="198">
        <v>1</v>
      </c>
      <c r="H7" s="327" t="s">
        <v>1210</v>
      </c>
      <c r="I7" s="327" t="s">
        <v>1060</v>
      </c>
      <c r="J7" s="326" t="s">
        <v>1232</v>
      </c>
      <c r="K7" s="155">
        <v>80000</v>
      </c>
      <c r="L7" s="156">
        <f>IF(K7&gt;=Datos!$D$14,(Datos!$D$14*Datos!$C$14),IF(K7&lt;=Datos!$D$14,(K7*Datos!$C$14)))</f>
        <v>2296</v>
      </c>
      <c r="M7" s="156">
        <f>IF(K7&gt;=Datos!$D$15,(Datos!$D$15*Datos!$C$15),IF(K7&lt;=Datos!$D$15,(K7*Datos!$C$15)))</f>
        <v>2432</v>
      </c>
      <c r="N7" s="60"/>
      <c r="O7" s="60">
        <f t="shared" ref="O7:O31" si="0">+K7-(L7+M7+N7)</f>
        <v>75272</v>
      </c>
      <c r="P7" s="60">
        <f>IF(O7&lt;=Datos!$G$7,"0",IF(O7&lt;=Datos!$G$8,(O7-Datos!$F$8)*Datos!$I$6,IF(O7&lt;=Datos!$G$9,Datos!$I$8+(O7-Datos!$F$9)*Datos!$J$6,IF(O7&gt;=Datos!$F$10,(Datos!$I$8+Datos!$J$8)+(O7-Datos!$F$10)*Datos!$K$6))))</f>
        <v>7400.8606666666674</v>
      </c>
      <c r="Q7" s="60"/>
      <c r="R7" s="60">
        <v>25</v>
      </c>
      <c r="S7" s="60"/>
      <c r="T7" s="60">
        <f t="shared" ref="T7:T31" si="1">SUM(P7:R7)+(L7+M7+N7)-S7</f>
        <v>12153.860666666667</v>
      </c>
      <c r="U7" s="60">
        <f t="shared" ref="U7:U31" si="2">+K7-T7</f>
        <v>67846.139333333325</v>
      </c>
      <c r="V7" s="199"/>
      <c r="W7" s="328">
        <v>44986</v>
      </c>
      <c r="X7" s="328">
        <v>45170</v>
      </c>
    </row>
    <row r="8" spans="1:25" s="135" customFormat="1" ht="18" customHeight="1" x14ac:dyDescent="0.25">
      <c r="A8" s="133"/>
      <c r="B8" s="154">
        <v>2</v>
      </c>
      <c r="C8" s="198" t="s">
        <v>1598</v>
      </c>
      <c r="D8" s="325" t="s">
        <v>1599</v>
      </c>
      <c r="E8" s="326" t="s">
        <v>85</v>
      </c>
      <c r="F8" s="326" t="s">
        <v>897</v>
      </c>
      <c r="G8" s="198">
        <v>1</v>
      </c>
      <c r="H8" s="329" t="s">
        <v>1143</v>
      </c>
      <c r="I8" s="327" t="s">
        <v>1187</v>
      </c>
      <c r="J8" s="326" t="s">
        <v>1103</v>
      </c>
      <c r="K8" s="155">
        <v>125000</v>
      </c>
      <c r="L8" s="156">
        <f>IF(K8&gt;=[3]Datos!$D$14,([3]Datos!$D$14*[3]Datos!$C$14),IF(K8&lt;=[3]Datos!$D$14,(K8*[3]Datos!$C$14)))</f>
        <v>3587.5</v>
      </c>
      <c r="M8" s="156">
        <f>IF(K8&gt;=[3]Datos!$D$15,([3]Datos!$D$15*[3]Datos!$C$15),IF(K8&lt;=[3]Datos!$D$15,(K8*[3]Datos!$C$15)))</f>
        <v>3800</v>
      </c>
      <c r="N8" s="60"/>
      <c r="O8" s="60">
        <f t="shared" si="0"/>
        <v>117612.5</v>
      </c>
      <c r="P8" s="60">
        <f>IF(O8&lt;=[3]Datos!$G$7,"0",IF(O8&lt;=[3]Datos!$G$8,(O8-[3]Datos!$F$8)*[3]Datos!$I$6,IF(O8&lt;=[3]Datos!$G$9,[3]Datos!$I$8+(O8-[3]Datos!$F$9)*[3]Datos!$J$6,IF(O8&gt;=[3]Datos!$F$10,([3]Datos!$I$8+[3]Datos!$J$8)+(O8-[3]Datos!$F$10)*[3]Datos!$K$6))))</f>
        <v>17985.985666666667</v>
      </c>
      <c r="Q8" s="60"/>
      <c r="R8" s="60">
        <v>25</v>
      </c>
      <c r="S8" s="60"/>
      <c r="T8" s="60">
        <f t="shared" si="1"/>
        <v>25398.485666666667</v>
      </c>
      <c r="U8" s="60">
        <f t="shared" si="2"/>
        <v>99601.514333333325</v>
      </c>
      <c r="V8" s="199"/>
      <c r="W8" s="328">
        <v>45627</v>
      </c>
      <c r="X8" s="328">
        <v>45352</v>
      </c>
    </row>
    <row r="9" spans="1:25" s="135" customFormat="1" ht="18" customHeight="1" x14ac:dyDescent="0.25">
      <c r="A9" s="133"/>
      <c r="B9" s="154">
        <v>3</v>
      </c>
      <c r="C9" s="198" t="s">
        <v>1715</v>
      </c>
      <c r="D9" s="325" t="s">
        <v>1716</v>
      </c>
      <c r="E9" s="326" t="s">
        <v>85</v>
      </c>
      <c r="F9" s="326" t="s">
        <v>897</v>
      </c>
      <c r="G9" s="198">
        <v>1</v>
      </c>
      <c r="H9" s="329" t="s">
        <v>1187</v>
      </c>
      <c r="I9" s="327" t="s">
        <v>1187</v>
      </c>
      <c r="J9" s="326" t="s">
        <v>1699</v>
      </c>
      <c r="K9" s="155">
        <v>75000</v>
      </c>
      <c r="L9" s="156">
        <f>IF(K9&gt;=[3]Datos!$D$14,([3]Datos!$D$14*[3]Datos!$C$14),IF(K9&lt;=[3]Datos!$D$14,(K9*[3]Datos!$C$14)))</f>
        <v>2152.5</v>
      </c>
      <c r="M9" s="156">
        <f>IF(K9&gt;=[3]Datos!$D$15,([3]Datos!$D$15*[3]Datos!$C$15),IF(K9&lt;=[3]Datos!$D$15,(K9*[3]Datos!$C$15)))</f>
        <v>2280</v>
      </c>
      <c r="N9" s="60"/>
      <c r="O9" s="60">
        <f t="shared" si="0"/>
        <v>70567.5</v>
      </c>
      <c r="P9" s="60">
        <f>IF(O9&lt;=[3]Datos!$G$7,"0",IF(O9&lt;=[3]Datos!$G$8,(O9-[3]Datos!$F$8)*[3]Datos!$I$6,IF(O9&lt;=[3]Datos!$G$9,[3]Datos!$I$8+(O9-[3]Datos!$F$9)*[3]Datos!$J$6,IF(O9&gt;=[3]Datos!$F$10,([3]Datos!$I$8+[3]Datos!$J$8)+(O9-[3]Datos!$F$10)*[3]Datos!$K$6))))</f>
        <v>6309.3756666666668</v>
      </c>
      <c r="Q9" s="60"/>
      <c r="R9" s="60">
        <v>25</v>
      </c>
      <c r="S9" s="60"/>
      <c r="T9" s="60">
        <f t="shared" si="1"/>
        <v>10766.875666666667</v>
      </c>
      <c r="U9" s="60">
        <f t="shared" si="2"/>
        <v>64233.124333333333</v>
      </c>
      <c r="V9" s="199">
        <v>9607479174</v>
      </c>
      <c r="W9" s="328">
        <v>45536</v>
      </c>
      <c r="X9" s="328">
        <v>45717</v>
      </c>
    </row>
    <row r="10" spans="1:25" s="135" customFormat="1" ht="18" customHeight="1" x14ac:dyDescent="0.25">
      <c r="A10" s="133"/>
      <c r="B10" s="154">
        <v>4</v>
      </c>
      <c r="C10" s="198" t="s">
        <v>1569</v>
      </c>
      <c r="D10" s="325" t="s">
        <v>896</v>
      </c>
      <c r="E10" s="326" t="s">
        <v>85</v>
      </c>
      <c r="F10" s="326" t="s">
        <v>897</v>
      </c>
      <c r="G10" s="198">
        <v>1</v>
      </c>
      <c r="H10" s="329" t="s">
        <v>1142</v>
      </c>
      <c r="I10" s="327" t="s">
        <v>1187</v>
      </c>
      <c r="J10" s="326" t="s">
        <v>1234</v>
      </c>
      <c r="K10" s="155">
        <f>157083.33</f>
        <v>157083.32999999999</v>
      </c>
      <c r="L10" s="156">
        <f>IF(K10&gt;=Datos!$D$14,(Datos!$D$14*Datos!$C$14),IF(K10&lt;=Datos!$D$14,(K10*Datos!$C$14)))</f>
        <v>4508.2915709999997</v>
      </c>
      <c r="M10" s="156">
        <f>IF(K10&gt;=Datos!$D$15,(Datos!$D$15*Datos!$C$15),IF(K10&lt;=Datos!$D$15,(K10*Datos!$C$15)))</f>
        <v>4775.333232</v>
      </c>
      <c r="N10" s="60"/>
      <c r="O10" s="60">
        <f t="shared" si="0"/>
        <v>147799.705197</v>
      </c>
      <c r="P10" s="60">
        <f>IF(O10&lt;=Datos!$G$7,"0",IF(O10&lt;=Datos!$G$8,(O10-Datos!$F$8)*Datos!$I$6,IF(O10&lt;=Datos!$G$9,Datos!$I$8+(O10-Datos!$F$9)*Datos!$J$6,IF(O10&gt;=Datos!$F$10,(Datos!$I$8+Datos!$J$8)+(O10-Datos!$F$10)*Datos!$K$6))))</f>
        <v>25532.786965916668</v>
      </c>
      <c r="Q10" s="60"/>
      <c r="R10" s="60">
        <v>25</v>
      </c>
      <c r="S10" s="60"/>
      <c r="T10" s="60">
        <f t="shared" si="1"/>
        <v>34841.411768916667</v>
      </c>
      <c r="U10" s="60">
        <f t="shared" si="2"/>
        <v>122241.91823108331</v>
      </c>
      <c r="V10" s="199"/>
      <c r="W10" s="328">
        <v>45170</v>
      </c>
      <c r="X10" s="328">
        <v>45352</v>
      </c>
    </row>
    <row r="11" spans="1:25" s="135" customFormat="1" ht="18" customHeight="1" x14ac:dyDescent="0.25">
      <c r="A11" s="133"/>
      <c r="B11" s="154">
        <v>5</v>
      </c>
      <c r="C11" s="198" t="s">
        <v>1583</v>
      </c>
      <c r="D11" s="325" t="s">
        <v>1582</v>
      </c>
      <c r="E11" s="326" t="s">
        <v>86</v>
      </c>
      <c r="F11" s="326" t="s">
        <v>897</v>
      </c>
      <c r="G11" s="198">
        <v>1</v>
      </c>
      <c r="H11" s="329" t="s">
        <v>1143</v>
      </c>
      <c r="I11" s="327" t="s">
        <v>1067</v>
      </c>
      <c r="J11" s="326" t="s">
        <v>1584</v>
      </c>
      <c r="K11" s="155">
        <v>50000</v>
      </c>
      <c r="L11" s="156">
        <f>IF(K11&gt;=Datos!$D$14,(Datos!$D$14*Datos!$C$14),IF(K11&lt;=Datos!$D$14,(K11*Datos!$C$14)))</f>
        <v>1435</v>
      </c>
      <c r="M11" s="156">
        <f>IF(K11&gt;=Datos!$D$15,(Datos!$D$15*Datos!$C$15),IF(K11&lt;=Datos!$D$15,(K11*Datos!$C$15)))</f>
        <v>1520</v>
      </c>
      <c r="N11" s="60"/>
      <c r="O11" s="60">
        <f t="shared" si="0"/>
        <v>47045</v>
      </c>
      <c r="P11" s="60">
        <f>IF(O11&lt;=Datos!$G$7,"0",IF(O11&lt;=Datos!$G$8,(O11-Datos!$F$8)*Datos!$I$6,IF(O11&lt;=Datos!$G$9,Datos!$I$8+(O11-Datos!$F$9)*Datos!$J$6,IF(O11&gt;=Datos!$F$10,(Datos!$I$8+Datos!$J$8)+(O11-Datos!$F$10)*Datos!$K$6))))</f>
        <v>1853.9984999999997</v>
      </c>
      <c r="Q11" s="60"/>
      <c r="R11" s="60">
        <v>25</v>
      </c>
      <c r="S11" s="60"/>
      <c r="T11" s="60">
        <f t="shared" si="1"/>
        <v>4833.9984999999997</v>
      </c>
      <c r="U11" s="60">
        <f>+K11-T11</f>
        <v>45166.001499999998</v>
      </c>
      <c r="V11" s="199">
        <v>9607165362</v>
      </c>
      <c r="W11" s="328">
        <v>45444</v>
      </c>
      <c r="X11" s="328">
        <v>45627</v>
      </c>
    </row>
    <row r="12" spans="1:25" s="135" customFormat="1" ht="18" customHeight="1" x14ac:dyDescent="0.25">
      <c r="A12" s="133"/>
      <c r="B12" s="154">
        <v>6</v>
      </c>
      <c r="C12" s="198" t="s">
        <v>1939</v>
      </c>
      <c r="D12" s="325" t="s">
        <v>1940</v>
      </c>
      <c r="E12" s="326" t="s">
        <v>86</v>
      </c>
      <c r="F12" s="326" t="s">
        <v>897</v>
      </c>
      <c r="G12" s="198">
        <v>1</v>
      </c>
      <c r="H12" s="329" t="s">
        <v>1187</v>
      </c>
      <c r="I12" s="327" t="s">
        <v>1060</v>
      </c>
      <c r="J12" s="326" t="s">
        <v>1949</v>
      </c>
      <c r="K12" s="155">
        <v>90200</v>
      </c>
      <c r="L12" s="156">
        <f>IF(K12&gt;=Datos!$D$14,(Datos!$D$14*Datos!$C$14),IF(K12&lt;=Datos!$D$14,(K12*Datos!$C$14)))</f>
        <v>2588.7399999999998</v>
      </c>
      <c r="M12" s="156">
        <f>IF(K12&gt;=Datos!$D$15,(Datos!$D$15*Datos!$C$15),IF(K12&lt;=Datos!$D$15,(K12*Datos!$C$15)))</f>
        <v>2742.08</v>
      </c>
      <c r="N12" s="60"/>
      <c r="O12" s="60">
        <f t="shared" si="0"/>
        <v>84869.18</v>
      </c>
      <c r="P12" s="60">
        <f>IF(O12&lt;=Datos!$G$7,"0",IF(O12&lt;=Datos!$G$8,(O12-Datos!$F$8)*Datos!$I$6,IF(O12&lt;=Datos!$G$9,Datos!$I$8+(O12-Datos!$F$9)*Datos!$J$6,IF(O12&gt;=Datos!$F$10,(Datos!$I$8+Datos!$J$8)+(O12-Datos!$F$10)*Datos!$K$6))))</f>
        <v>9800.1556666666656</v>
      </c>
      <c r="Q12" s="60"/>
      <c r="R12" s="60">
        <v>25</v>
      </c>
      <c r="S12" s="60"/>
      <c r="T12" s="60">
        <f t="shared" si="1"/>
        <v>15155.975666666665</v>
      </c>
      <c r="U12" s="60">
        <f>+K12-T12</f>
        <v>75044.024333333335</v>
      </c>
      <c r="V12" s="199">
        <v>9603143742</v>
      </c>
      <c r="W12" s="328">
        <v>45627</v>
      </c>
      <c r="X12" s="328">
        <v>45658</v>
      </c>
    </row>
    <row r="13" spans="1:25" s="135" customFormat="1" ht="30.75" customHeight="1" x14ac:dyDescent="0.25">
      <c r="A13" s="133"/>
      <c r="B13" s="154">
        <v>7</v>
      </c>
      <c r="C13" s="198" t="s">
        <v>1101</v>
      </c>
      <c r="D13" s="325" t="s">
        <v>1102</v>
      </c>
      <c r="E13" s="326" t="s">
        <v>85</v>
      </c>
      <c r="F13" s="326" t="s">
        <v>897</v>
      </c>
      <c r="G13" s="198">
        <v>1</v>
      </c>
      <c r="H13" s="329" t="s">
        <v>1143</v>
      </c>
      <c r="I13" s="327" t="s">
        <v>1187</v>
      </c>
      <c r="J13" s="326" t="s">
        <v>1103</v>
      </c>
      <c r="K13" s="155">
        <v>125000</v>
      </c>
      <c r="L13" s="156">
        <f>IF(K13&gt;=Datos!$D$14,(Datos!$D$14*Datos!$C$14),IF(K13&lt;=Datos!$D$14,(K13*Datos!$C$14)))</f>
        <v>3587.5</v>
      </c>
      <c r="M13" s="156">
        <f>IF(K13&gt;=Datos!$D$15,(Datos!$D$15*Datos!$C$15),IF(K13&lt;=Datos!$D$15,(K13*Datos!$C$15)))</f>
        <v>3800</v>
      </c>
      <c r="N13" s="60"/>
      <c r="O13" s="60">
        <f t="shared" si="0"/>
        <v>117612.5</v>
      </c>
      <c r="P13" s="60">
        <f>IF(O13&lt;=Datos!$G$7,"0",IF(O13&lt;=Datos!$G$8,(O13-Datos!$F$8)*Datos!$I$6,IF(O13&lt;=Datos!$G$9,Datos!$I$8+(O13-Datos!$F$9)*Datos!$J$6,IF(O13&gt;=Datos!$F$10,(Datos!$I$8+Datos!$J$8)+(O13-Datos!$F$10)*Datos!$K$6))))</f>
        <v>17985.985666666667</v>
      </c>
      <c r="Q13" s="60"/>
      <c r="R13" s="60">
        <v>25</v>
      </c>
      <c r="S13" s="60"/>
      <c r="T13" s="60">
        <f t="shared" si="1"/>
        <v>25398.485666666667</v>
      </c>
      <c r="U13" s="60">
        <f t="shared" si="2"/>
        <v>99601.514333333325</v>
      </c>
      <c r="V13" s="199"/>
      <c r="W13" s="328">
        <v>45017</v>
      </c>
      <c r="X13" s="328">
        <v>45200</v>
      </c>
    </row>
    <row r="14" spans="1:25" s="135" customFormat="1" ht="30.75" customHeight="1" x14ac:dyDescent="0.25">
      <c r="A14" s="133"/>
      <c r="B14" s="154">
        <v>8</v>
      </c>
      <c r="C14" s="198" t="s">
        <v>1943</v>
      </c>
      <c r="D14" s="325" t="s">
        <v>1944</v>
      </c>
      <c r="E14" s="326" t="s">
        <v>85</v>
      </c>
      <c r="F14" s="326" t="s">
        <v>897</v>
      </c>
      <c r="G14" s="198">
        <v>5</v>
      </c>
      <c r="H14" s="329" t="s">
        <v>1210</v>
      </c>
      <c r="I14" s="327" t="s">
        <v>1062</v>
      </c>
      <c r="J14" s="326" t="s">
        <v>1947</v>
      </c>
      <c r="K14" s="155">
        <v>60000</v>
      </c>
      <c r="L14" s="156">
        <f>IF(K14&gt;=Datos!$D$14,(Datos!$D$14*Datos!$C$14),IF(K14&lt;=Datos!$D$14,(K14*Datos!$C$14)))</f>
        <v>1722</v>
      </c>
      <c r="M14" s="156">
        <f>IF(K14&gt;=Datos!$D$15,(Datos!$D$15*Datos!$C$15),IF(K14&lt;=Datos!$D$15,(K14*Datos!$C$15)))</f>
        <v>1824</v>
      </c>
      <c r="N14" s="60"/>
      <c r="O14" s="60">
        <f t="shared" ref="O14" si="3">+K14-(L14+M14+N14)</f>
        <v>56454</v>
      </c>
      <c r="P14" s="60">
        <f>IF(O14&lt;=Datos!$G$7,"0",IF(O14&lt;=Datos!$G$8,(O14-Datos!$F$8)*Datos!$I$6,IF(O14&lt;=Datos!$G$9,Datos!$I$8+(O14-Datos!$F$9)*Datos!$J$6,IF(O14&gt;=Datos!$F$10,(Datos!$I$8+Datos!$J$8)+(O14-Datos!$F$10)*Datos!$K$6))))</f>
        <v>3486.6756666666661</v>
      </c>
      <c r="Q14" s="60"/>
      <c r="R14" s="60">
        <v>25</v>
      </c>
      <c r="S14" s="60"/>
      <c r="T14" s="60">
        <f t="shared" ref="T14" si="4">SUM(P14:R14)+(L14+M14+N14)-S14</f>
        <v>7057.6756666666661</v>
      </c>
      <c r="U14" s="60">
        <f t="shared" ref="U14" si="5">+K14-T14</f>
        <v>52942.324333333338</v>
      </c>
      <c r="V14" s="199">
        <v>9607759028</v>
      </c>
      <c r="W14" s="328">
        <v>45627</v>
      </c>
      <c r="X14" s="328">
        <v>45352</v>
      </c>
    </row>
    <row r="15" spans="1:25" s="135" customFormat="1" ht="30.75" customHeight="1" x14ac:dyDescent="0.25">
      <c r="A15" s="133"/>
      <c r="B15" s="154">
        <v>9</v>
      </c>
      <c r="C15" s="198" t="s">
        <v>1706</v>
      </c>
      <c r="D15" s="325" t="s">
        <v>1707</v>
      </c>
      <c r="E15" s="326" t="s">
        <v>86</v>
      </c>
      <c r="F15" s="326" t="s">
        <v>897</v>
      </c>
      <c r="G15" s="198">
        <v>1</v>
      </c>
      <c r="H15" s="329" t="s">
        <v>1187</v>
      </c>
      <c r="I15" s="327" t="s">
        <v>1187</v>
      </c>
      <c r="J15" s="326" t="s">
        <v>1701</v>
      </c>
      <c r="K15" s="155">
        <v>150000</v>
      </c>
      <c r="L15" s="156">
        <f>IF(K15&gt;=Datos!$D$14,(Datos!$D$14*Datos!$C$14),IF(K15&lt;=Datos!$D$14,(K15*Datos!$C$14)))</f>
        <v>4305</v>
      </c>
      <c r="M15" s="156">
        <f>IF(K15&gt;=Datos!$D$15,(Datos!$D$15*Datos!$C$15),IF(K15&lt;=Datos!$D$15,(K15*Datos!$C$15)))</f>
        <v>4560</v>
      </c>
      <c r="N15" s="60"/>
      <c r="O15" s="60">
        <f t="shared" si="0"/>
        <v>141135</v>
      </c>
      <c r="P15" s="60">
        <f>IF(O15&lt;=Datos!$G$7,"0",IF(O15&lt;=Datos!$G$8,(O15-Datos!$F$8)*Datos!$I$6,IF(O15&lt;=Datos!$G$9,Datos!$I$8+(O15-Datos!$F$9)*Datos!$J$6,IF(O15&gt;=Datos!$F$10,(Datos!$I$8+Datos!$J$8)+(O15-Datos!$F$10)*Datos!$K$6))))</f>
        <v>23866.610666666667</v>
      </c>
      <c r="Q15" s="60"/>
      <c r="R15" s="60">
        <v>25</v>
      </c>
      <c r="S15" s="60"/>
      <c r="T15" s="60">
        <f t="shared" si="1"/>
        <v>32756.610666666667</v>
      </c>
      <c r="U15" s="60">
        <f t="shared" si="2"/>
        <v>117243.38933333333</v>
      </c>
      <c r="V15" s="199">
        <v>9607405812</v>
      </c>
      <c r="W15" s="328">
        <v>45536</v>
      </c>
      <c r="X15" s="328">
        <v>45717</v>
      </c>
    </row>
    <row r="16" spans="1:25" s="135" customFormat="1" ht="30.75" customHeight="1" x14ac:dyDescent="0.25">
      <c r="A16" s="133"/>
      <c r="B16" s="154">
        <v>10</v>
      </c>
      <c r="C16" s="198" t="s">
        <v>1722</v>
      </c>
      <c r="D16" s="325" t="s">
        <v>1720</v>
      </c>
      <c r="E16" s="326" t="s">
        <v>85</v>
      </c>
      <c r="F16" s="326" t="s">
        <v>897</v>
      </c>
      <c r="G16" s="198">
        <v>1</v>
      </c>
      <c r="H16" s="329" t="s">
        <v>1723</v>
      </c>
      <c r="I16" s="327" t="s">
        <v>1187</v>
      </c>
      <c r="J16" s="326" t="s">
        <v>1719</v>
      </c>
      <c r="K16" s="155">
        <v>110000</v>
      </c>
      <c r="L16" s="156">
        <f>IF(K16&gt;=Datos!$D$14,(Datos!$D$14*Datos!$C$14),IF(K16&lt;=Datos!$D$14,(K16*Datos!$C$14)))</f>
        <v>3157</v>
      </c>
      <c r="M16" s="156">
        <f>IF(K16&gt;=Datos!$D$15,(Datos!$D$15*Datos!$C$15),IF(K16&lt;=Datos!$D$15,(K16*Datos!$C$15)))</f>
        <v>3344</v>
      </c>
      <c r="N16" s="60">
        <v>1715.46</v>
      </c>
      <c r="O16" s="60">
        <f t="shared" si="0"/>
        <v>101783.54000000001</v>
      </c>
      <c r="P16" s="60">
        <f>IF(O16&lt;=Datos!$G$7,"0",IF(O16&lt;=Datos!$G$8,(O16-Datos!$F$8)*Datos!$I$6,IF(O16&lt;=Datos!$G$9,Datos!$I$8+(O16-Datos!$F$9)*Datos!$J$6,IF(O16&gt;=Datos!$F$10,(Datos!$I$8+Datos!$J$8)+(O16-Datos!$F$10)*Datos!$K$6))))</f>
        <v>14028.745666666669</v>
      </c>
      <c r="Q16" s="60"/>
      <c r="R16" s="60">
        <v>25</v>
      </c>
      <c r="S16" s="60"/>
      <c r="T16" s="60">
        <f t="shared" si="1"/>
        <v>22270.205666666669</v>
      </c>
      <c r="U16" s="60">
        <f t="shared" si="2"/>
        <v>87729.794333333324</v>
      </c>
      <c r="V16" s="199">
        <v>9607479177</v>
      </c>
      <c r="W16" s="328">
        <v>45536</v>
      </c>
      <c r="X16" s="328">
        <v>45717</v>
      </c>
    </row>
    <row r="17" spans="1:24" s="135" customFormat="1" ht="44.25" customHeight="1" x14ac:dyDescent="0.25">
      <c r="A17" s="133"/>
      <c r="B17" s="154">
        <v>11</v>
      </c>
      <c r="C17" s="198" t="s">
        <v>1533</v>
      </c>
      <c r="D17" s="325" t="s">
        <v>1534</v>
      </c>
      <c r="E17" s="326" t="s">
        <v>85</v>
      </c>
      <c r="F17" s="326" t="s">
        <v>897</v>
      </c>
      <c r="G17" s="198">
        <v>1</v>
      </c>
      <c r="H17" s="330" t="s">
        <v>1154</v>
      </c>
      <c r="I17" s="327" t="s">
        <v>1187</v>
      </c>
      <c r="J17" s="325" t="s">
        <v>1536</v>
      </c>
      <c r="K17" s="155">
        <v>25000</v>
      </c>
      <c r="L17" s="156">
        <f>IF(K17&gt;=Datos!$D$14,(Datos!$D$14*Datos!$C$14),IF(K17&lt;=Datos!$D$14,(K17*Datos!$C$14)))</f>
        <v>717.5</v>
      </c>
      <c r="M17" s="156">
        <f>IF(K17&gt;=Datos!$D$15,(Datos!$D$15*Datos!$C$15),IF(K17&lt;=Datos!$D$15,(K17*Datos!$C$15)))</f>
        <v>760</v>
      </c>
      <c r="N17" s="60"/>
      <c r="O17" s="60">
        <f t="shared" si="0"/>
        <v>23522.5</v>
      </c>
      <c r="P17" s="60" t="str">
        <f>IF(O17&lt;=Datos!$G$7,"0",IF(O17&lt;=Datos!$G$8,(O17-Datos!$F$8)*Datos!$I$6,IF(O17&lt;=Datos!$G$9,Datos!$I$8+(O17-Datos!$F$9)*Datos!$J$6,IF(O17&gt;=Datos!$F$10,(Datos!$I$8+Datos!$J$8)+(O17-Datos!$F$10)*Datos!$K$6))))</f>
        <v>0</v>
      </c>
      <c r="Q17" s="60"/>
      <c r="R17" s="60">
        <v>25</v>
      </c>
      <c r="S17" s="60"/>
      <c r="T17" s="60">
        <f t="shared" si="1"/>
        <v>1502.5</v>
      </c>
      <c r="U17" s="60">
        <f t="shared" si="2"/>
        <v>23497.5</v>
      </c>
      <c r="V17" s="199">
        <v>9606937489</v>
      </c>
      <c r="W17" s="328">
        <v>45383</v>
      </c>
      <c r="X17" s="328">
        <v>45566</v>
      </c>
    </row>
    <row r="18" spans="1:24" s="340" customFormat="1" ht="18" customHeight="1" x14ac:dyDescent="0.25">
      <c r="A18" s="331"/>
      <c r="B18" s="154">
        <v>12</v>
      </c>
      <c r="C18" s="332" t="s">
        <v>1055</v>
      </c>
      <c r="D18" s="333" t="s">
        <v>1056</v>
      </c>
      <c r="E18" s="334" t="s">
        <v>85</v>
      </c>
      <c r="F18" s="334" t="s">
        <v>897</v>
      </c>
      <c r="G18" s="332">
        <v>1</v>
      </c>
      <c r="H18" s="335" t="s">
        <v>1187</v>
      </c>
      <c r="I18" s="336" t="s">
        <v>1187</v>
      </c>
      <c r="J18" s="334" t="s">
        <v>1938</v>
      </c>
      <c r="K18" s="337">
        <v>180000</v>
      </c>
      <c r="L18" s="156">
        <f>IF(K18&gt;=Datos!$D$14,(Datos!$D$14*Datos!$C$14),IF(K18&lt;=Datos!$D$14,(K18*Datos!$C$14)))</f>
        <v>5166</v>
      </c>
      <c r="M18" s="156">
        <f>IF(K18&gt;=Datos!$D$15,(Datos!$D$15*Datos!$C$15),IF(K18&lt;=Datos!$D$15,(K18*Datos!$C$15)))</f>
        <v>5472</v>
      </c>
      <c r="N18" s="338"/>
      <c r="O18" s="60">
        <f t="shared" si="0"/>
        <v>169362</v>
      </c>
      <c r="P18" s="60">
        <f>IF(O18&lt;=Datos!$G$7,"0",IF(O18&lt;=Datos!$G$8,(O18-Datos!$F$8)*Datos!$I$6,IF(O18&lt;=Datos!$G$9,Datos!$I$8+(O18-Datos!$F$9)*Datos!$J$6,IF(O18&gt;=Datos!$F$10,(Datos!$I$8+Datos!$J$8)+(O18-Datos!$F$10)*Datos!$K$6))))</f>
        <v>30923.360666666667</v>
      </c>
      <c r="Q18" s="338"/>
      <c r="R18" s="338">
        <v>25</v>
      </c>
      <c r="S18" s="338"/>
      <c r="T18" s="60">
        <f t="shared" si="1"/>
        <v>41586.360666666667</v>
      </c>
      <c r="U18" s="60">
        <f t="shared" si="2"/>
        <v>138413.63933333333</v>
      </c>
      <c r="V18" s="339"/>
      <c r="W18" s="320">
        <v>45627</v>
      </c>
      <c r="X18" s="320">
        <v>45809</v>
      </c>
    </row>
    <row r="19" spans="1:24" s="340" customFormat="1" ht="18" customHeight="1" x14ac:dyDescent="0.25">
      <c r="A19" s="331"/>
      <c r="B19" s="154">
        <v>13</v>
      </c>
      <c r="C19" s="332" t="s">
        <v>1941</v>
      </c>
      <c r="D19" s="333" t="s">
        <v>1942</v>
      </c>
      <c r="E19" s="334" t="s">
        <v>86</v>
      </c>
      <c r="F19" s="334" t="s">
        <v>897</v>
      </c>
      <c r="G19" s="332">
        <v>1</v>
      </c>
      <c r="H19" s="335" t="s">
        <v>1187</v>
      </c>
      <c r="I19" s="336" t="s">
        <v>1062</v>
      </c>
      <c r="J19" s="334" t="s">
        <v>1949</v>
      </c>
      <c r="K19" s="337">
        <v>90200</v>
      </c>
      <c r="L19" s="156">
        <f>IF(K19&gt;=Datos!$D$14,(Datos!$D$14*Datos!$C$14),IF(K19&lt;=Datos!$D$14,(K19*Datos!$C$14)))</f>
        <v>2588.7399999999998</v>
      </c>
      <c r="M19" s="156">
        <f>IF(K19&gt;=Datos!$D$15,(Datos!$D$15*Datos!$C$15),IF(K19&lt;=Datos!$D$15,(K19*Datos!$C$15)))</f>
        <v>2742.08</v>
      </c>
      <c r="N19" s="338"/>
      <c r="O19" s="60">
        <f t="shared" si="0"/>
        <v>84869.18</v>
      </c>
      <c r="P19" s="60">
        <f>IF(O19&lt;=Datos!$G$7,"0",IF(O19&lt;=Datos!$G$8,(O19-Datos!$F$8)*Datos!$I$6,IF(O19&lt;=Datos!$G$9,Datos!$I$8+(O19-Datos!$F$9)*Datos!$J$6,IF(O19&gt;=Datos!$F$10,(Datos!$I$8+Datos!$J$8)+(O19-Datos!$F$10)*Datos!$K$6))))</f>
        <v>9800.1556666666656</v>
      </c>
      <c r="Q19" s="338"/>
      <c r="R19" s="338">
        <v>25</v>
      </c>
      <c r="S19" s="338"/>
      <c r="T19" s="60">
        <f t="shared" si="1"/>
        <v>15155.975666666665</v>
      </c>
      <c r="U19" s="60">
        <f t="shared" si="2"/>
        <v>75044.024333333335</v>
      </c>
      <c r="V19" s="339">
        <v>9607740045</v>
      </c>
      <c r="W19" s="320">
        <v>45627</v>
      </c>
      <c r="X19" s="320">
        <v>45658</v>
      </c>
    </row>
    <row r="20" spans="1:24" s="135" customFormat="1" ht="32.25" customHeight="1" x14ac:dyDescent="0.25">
      <c r="A20" s="133"/>
      <c r="B20" s="154">
        <v>14</v>
      </c>
      <c r="C20" s="198" t="s">
        <v>1457</v>
      </c>
      <c r="D20" s="325" t="s">
        <v>1446</v>
      </c>
      <c r="E20" s="326" t="s">
        <v>85</v>
      </c>
      <c r="F20" s="326" t="s">
        <v>897</v>
      </c>
      <c r="G20" s="198">
        <v>3</v>
      </c>
      <c r="H20" s="329" t="s">
        <v>1215</v>
      </c>
      <c r="I20" s="327" t="s">
        <v>1277</v>
      </c>
      <c r="J20" s="326" t="s">
        <v>859</v>
      </c>
      <c r="K20" s="155">
        <v>32000</v>
      </c>
      <c r="L20" s="156">
        <f>IF(K20&gt;=Datos!$D$14,(Datos!$D$14*Datos!$C$14),IF(K20&lt;=Datos!$D$14,(K20*Datos!$C$14)))</f>
        <v>918.4</v>
      </c>
      <c r="M20" s="156">
        <f>IF(K20&gt;=Datos!$D$15,(Datos!$D$15*Datos!$C$15),IF(K20&lt;=Datos!$D$15,(K20*Datos!$C$15)))</f>
        <v>972.8</v>
      </c>
      <c r="N20" s="60"/>
      <c r="O20" s="60">
        <f t="shared" si="0"/>
        <v>30108.799999999999</v>
      </c>
      <c r="P20" s="60" t="str">
        <f>IF(O20&lt;=Datos!$G$7,"0",IF(O20&lt;=Datos!$G$8,(O20-Datos!$F$8)*Datos!$I$6,IF(O20&lt;=Datos!$G$9,Datos!$I$8+(O20-Datos!$F$9)*Datos!$J$6,IF(O20&gt;=Datos!$F$10,(Datos!$I$8+Datos!$J$8)+(O20-Datos!$F$10)*Datos!$K$6))))</f>
        <v>0</v>
      </c>
      <c r="Q20" s="60"/>
      <c r="R20" s="60">
        <v>25</v>
      </c>
      <c r="S20" s="60"/>
      <c r="T20" s="60">
        <f t="shared" si="1"/>
        <v>1916.1999999999998</v>
      </c>
      <c r="U20" s="60">
        <f t="shared" si="2"/>
        <v>30083.8</v>
      </c>
      <c r="V20" s="199"/>
      <c r="W20" s="328">
        <v>45231</v>
      </c>
      <c r="X20" s="328">
        <v>45413</v>
      </c>
    </row>
    <row r="21" spans="1:24" s="135" customFormat="1" ht="18" customHeight="1" x14ac:dyDescent="0.25">
      <c r="A21" s="133"/>
      <c r="B21" s="154">
        <v>15</v>
      </c>
      <c r="C21" s="198" t="s">
        <v>1449</v>
      </c>
      <c r="D21" s="325" t="s">
        <v>1450</v>
      </c>
      <c r="E21" s="326" t="s">
        <v>86</v>
      </c>
      <c r="F21" s="326" t="s">
        <v>897</v>
      </c>
      <c r="G21" s="198">
        <v>1</v>
      </c>
      <c r="H21" s="329" t="s">
        <v>1451</v>
      </c>
      <c r="I21" s="327" t="s">
        <v>1067</v>
      </c>
      <c r="J21" s="326" t="s">
        <v>1274</v>
      </c>
      <c r="K21" s="155">
        <v>30000</v>
      </c>
      <c r="L21" s="156">
        <f>IF(K21&gt;=Datos!$D$14,(Datos!$D$14*Datos!$C$14),IF(K21&lt;=Datos!$D$14,(K21*Datos!$C$14)))</f>
        <v>861</v>
      </c>
      <c r="M21" s="156">
        <f>IF(K21&gt;=Datos!$D$15,(Datos!$D$15*Datos!$C$15),IF(K21&lt;=Datos!$D$15,(K21*Datos!$C$15)))</f>
        <v>912</v>
      </c>
      <c r="N21" s="60"/>
      <c r="O21" s="60">
        <f t="shared" si="0"/>
        <v>28227</v>
      </c>
      <c r="P21" s="60" t="str">
        <f>IF(O21&lt;=Datos!$G$7,"0",IF(O21&lt;=Datos!$G$8,(O21-Datos!$F$8)*Datos!$I$6,IF(O21&lt;=Datos!$G$9,Datos!$I$8+(O21-Datos!$F$9)*Datos!$J$6,IF(O21&gt;=Datos!$F$10,(Datos!$I$8+Datos!$J$8)+(O21-Datos!$F$10)*Datos!$K$6))))</f>
        <v>0</v>
      </c>
      <c r="Q21" s="60">
        <v>1513.05</v>
      </c>
      <c r="R21" s="60">
        <v>25</v>
      </c>
      <c r="S21" s="60"/>
      <c r="T21" s="60">
        <f t="shared" si="1"/>
        <v>3311.05</v>
      </c>
      <c r="U21" s="60">
        <f t="shared" si="2"/>
        <v>26688.95</v>
      </c>
      <c r="V21" s="199"/>
      <c r="W21" s="328">
        <v>45627</v>
      </c>
      <c r="X21" s="328">
        <v>45809</v>
      </c>
    </row>
    <row r="22" spans="1:24" s="135" customFormat="1" ht="18" customHeight="1" x14ac:dyDescent="0.25">
      <c r="A22" s="133"/>
      <c r="B22" s="154">
        <v>16</v>
      </c>
      <c r="C22" s="198" t="s">
        <v>1717</v>
      </c>
      <c r="D22" s="325" t="s">
        <v>1718</v>
      </c>
      <c r="E22" s="326" t="s">
        <v>86</v>
      </c>
      <c r="F22" s="326" t="s">
        <v>897</v>
      </c>
      <c r="G22" s="198">
        <v>1</v>
      </c>
      <c r="H22" s="329" t="s">
        <v>1721</v>
      </c>
      <c r="I22" s="327" t="s">
        <v>1187</v>
      </c>
      <c r="J22" s="326" t="s">
        <v>1702</v>
      </c>
      <c r="K22" s="155">
        <v>125000</v>
      </c>
      <c r="L22" s="156">
        <f>IF(K22&gt;=Datos!$D$14,(Datos!$D$14*Datos!$C$14),IF(K22&lt;=Datos!$D$14,(K22*Datos!$C$14)))</f>
        <v>3587.5</v>
      </c>
      <c r="M22" s="156">
        <f>IF(K22&gt;=Datos!$D$15,(Datos!$D$15*Datos!$C$15),IF(K22&lt;=Datos!$D$15,(K22*Datos!$C$15)))</f>
        <v>3800</v>
      </c>
      <c r="N22" s="60"/>
      <c r="O22" s="60">
        <f t="shared" si="0"/>
        <v>117612.5</v>
      </c>
      <c r="P22" s="60">
        <f>IF(O22&lt;=Datos!$G$7,"0",IF(O22&lt;=Datos!$G$8,(O22-Datos!$F$8)*Datos!$I$6,IF(O22&lt;=Datos!$G$9,Datos!$I$8+(O22-Datos!$F$9)*Datos!$J$6,IF(O22&gt;=Datos!$F$10,(Datos!$I$8+Datos!$J$8)+(O22-Datos!$F$10)*Datos!$K$6))))</f>
        <v>17985.985666666667</v>
      </c>
      <c r="Q22" s="60"/>
      <c r="R22" s="60">
        <v>25</v>
      </c>
      <c r="S22" s="60"/>
      <c r="T22" s="60">
        <f t="shared" si="1"/>
        <v>25398.485666666667</v>
      </c>
      <c r="U22" s="60">
        <f t="shared" si="2"/>
        <v>99601.514333333325</v>
      </c>
      <c r="V22" s="199">
        <v>9607479173</v>
      </c>
      <c r="W22" s="328">
        <v>45536</v>
      </c>
      <c r="X22" s="328">
        <v>45717</v>
      </c>
    </row>
    <row r="23" spans="1:24" s="135" customFormat="1" ht="18" customHeight="1" x14ac:dyDescent="0.25">
      <c r="A23" s="133"/>
      <c r="B23" s="154">
        <v>17</v>
      </c>
      <c r="C23" s="198" t="s">
        <v>1557</v>
      </c>
      <c r="D23" s="325" t="s">
        <v>1558</v>
      </c>
      <c r="E23" s="326" t="s">
        <v>86</v>
      </c>
      <c r="F23" s="326" t="s">
        <v>897</v>
      </c>
      <c r="G23" s="198">
        <v>1</v>
      </c>
      <c r="H23" s="329" t="s">
        <v>1379</v>
      </c>
      <c r="I23" s="327" t="s">
        <v>1067</v>
      </c>
      <c r="J23" s="326" t="s">
        <v>1559</v>
      </c>
      <c r="K23" s="155">
        <v>28000</v>
      </c>
      <c r="L23" s="156">
        <f>IF(K23&gt;=Datos!$D$14,(Datos!$D$14*Datos!$C$14),IF(K23&lt;=Datos!$D$14,(K23*Datos!$C$14)))</f>
        <v>803.6</v>
      </c>
      <c r="M23" s="156">
        <f>IF(K23&gt;=Datos!$D$15,(Datos!$D$15*Datos!$C$15),IF(K23&lt;=Datos!$D$15,(K23*Datos!$C$15)))</f>
        <v>851.2</v>
      </c>
      <c r="N23" s="60"/>
      <c r="O23" s="60">
        <f t="shared" si="0"/>
        <v>26345.200000000001</v>
      </c>
      <c r="P23" s="60" t="str">
        <f>IF(O23&lt;=Datos!$G$7,"0",IF(O23&lt;=Datos!$G$8,(O23-Datos!$F$8)*Datos!$I$6,IF(O23&lt;=Datos!$G$9,Datos!$I$8+(O23-Datos!$F$9)*Datos!$J$6,IF(O23&gt;=Datos!$F$10,(Datos!$I$8+Datos!$J$8)+(O23-Datos!$F$10)*Datos!$K$6))))</f>
        <v>0</v>
      </c>
      <c r="Q23" s="60"/>
      <c r="R23" s="60">
        <v>25</v>
      </c>
      <c r="S23" s="60"/>
      <c r="T23" s="60">
        <f t="shared" si="1"/>
        <v>1679.8000000000002</v>
      </c>
      <c r="U23" s="60">
        <f t="shared" si="2"/>
        <v>26320.2</v>
      </c>
      <c r="V23" s="199">
        <v>9607094248</v>
      </c>
      <c r="W23" s="328">
        <v>45413</v>
      </c>
      <c r="X23" s="328">
        <v>45597</v>
      </c>
    </row>
    <row r="24" spans="1:24" s="135" customFormat="1" ht="30" customHeight="1" x14ac:dyDescent="0.25">
      <c r="A24" s="133"/>
      <c r="B24" s="154">
        <v>18</v>
      </c>
      <c r="C24" s="198" t="s">
        <v>1191</v>
      </c>
      <c r="D24" s="325" t="s">
        <v>1192</v>
      </c>
      <c r="E24" s="326" t="s">
        <v>86</v>
      </c>
      <c r="F24" s="326" t="s">
        <v>897</v>
      </c>
      <c r="G24" s="198">
        <v>1</v>
      </c>
      <c r="H24" s="327" t="s">
        <v>1193</v>
      </c>
      <c r="I24" s="327" t="s">
        <v>1187</v>
      </c>
      <c r="J24" s="326" t="s">
        <v>1279</v>
      </c>
      <c r="K24" s="155">
        <v>120000</v>
      </c>
      <c r="L24" s="156">
        <f>IF(K24&gt;=Datos!$D$14,(Datos!$D$14*Datos!$C$14),IF(K24&lt;=Datos!$D$14,(K24*Datos!$C$14)))</f>
        <v>3444</v>
      </c>
      <c r="M24" s="156">
        <f>IF(K24&gt;=Datos!$D$15,(Datos!$D$15*Datos!$C$15),IF(K24&lt;=Datos!$D$15,(K24*Datos!$C$15)))</f>
        <v>3648</v>
      </c>
      <c r="N24" s="60"/>
      <c r="O24" s="60">
        <f t="shared" si="0"/>
        <v>112908</v>
      </c>
      <c r="P24" s="60">
        <f>IF(O24&lt;=Datos!$G$7,"0",IF(O24&lt;=Datos!$G$8,(O24-Datos!$F$8)*Datos!$I$6,IF(O24&lt;=Datos!$G$9,Datos!$I$8+(O24-Datos!$F$9)*Datos!$J$6,IF(O24&gt;=Datos!$F$10,(Datos!$I$8+Datos!$J$8)+(O24-Datos!$F$10)*Datos!$K$6))))</f>
        <v>16809.860666666667</v>
      </c>
      <c r="Q24" s="60"/>
      <c r="R24" s="60">
        <v>25</v>
      </c>
      <c r="S24" s="60"/>
      <c r="T24" s="60">
        <f t="shared" si="1"/>
        <v>23926.860666666667</v>
      </c>
      <c r="U24" s="60">
        <f t="shared" si="2"/>
        <v>96073.139333333325</v>
      </c>
      <c r="V24" s="199"/>
      <c r="W24" s="328">
        <v>45108</v>
      </c>
      <c r="X24" s="328">
        <v>45292</v>
      </c>
    </row>
    <row r="25" spans="1:24" s="135" customFormat="1" ht="30" customHeight="1" x14ac:dyDescent="0.25">
      <c r="A25" s="133"/>
      <c r="B25" s="154">
        <v>19</v>
      </c>
      <c r="C25" s="198" t="s">
        <v>1725</v>
      </c>
      <c r="D25" s="325" t="s">
        <v>1703</v>
      </c>
      <c r="E25" s="326" t="s">
        <v>85</v>
      </c>
      <c r="F25" s="326" t="s">
        <v>897</v>
      </c>
      <c r="G25" s="198">
        <v>1</v>
      </c>
      <c r="H25" s="330" t="s">
        <v>1187</v>
      </c>
      <c r="I25" s="327" t="s">
        <v>1187</v>
      </c>
      <c r="J25" s="326" t="s">
        <v>1699</v>
      </c>
      <c r="K25" s="155">
        <v>75000</v>
      </c>
      <c r="L25" s="156">
        <f>IF(K25&gt;=Datos!$D$14,(Datos!$D$14*Datos!$C$14),IF(K25&lt;=Datos!$D$14,(K25*Datos!$C$14)))</f>
        <v>2152.5</v>
      </c>
      <c r="M25" s="156">
        <f>IF(K25&gt;=Datos!$D$15,(Datos!$D$15*Datos!$C$15),IF(K25&lt;=Datos!$D$15,(K25*Datos!$C$15)))</f>
        <v>2280</v>
      </c>
      <c r="N25" s="60"/>
      <c r="O25" s="60">
        <f t="shared" si="0"/>
        <v>70567.5</v>
      </c>
      <c r="P25" s="60">
        <f>IF(O25&lt;=Datos!$G$7,"0",IF(O25&lt;=Datos!$G$8,(O25-Datos!$F$8)*Datos!$I$6,IF(O25&lt;=Datos!$G$9,Datos!$I$8+(O25-Datos!$F$9)*Datos!$J$6,IF(O25&gt;=Datos!$F$10,(Datos!$I$8+Datos!$J$8)+(O25-Datos!$F$10)*Datos!$K$6))))</f>
        <v>6309.3756666666668</v>
      </c>
      <c r="Q25" s="60"/>
      <c r="R25" s="60">
        <v>25</v>
      </c>
      <c r="S25" s="60"/>
      <c r="T25" s="60">
        <f t="shared" si="1"/>
        <v>10766.875666666667</v>
      </c>
      <c r="U25" s="60">
        <f t="shared" si="2"/>
        <v>64233.124333333333</v>
      </c>
      <c r="V25" s="199">
        <v>9607405809</v>
      </c>
      <c r="W25" s="328">
        <v>45536</v>
      </c>
      <c r="X25" s="328">
        <v>45717</v>
      </c>
    </row>
    <row r="26" spans="1:24" s="135" customFormat="1" ht="30" customHeight="1" x14ac:dyDescent="0.25">
      <c r="A26" s="133"/>
      <c r="B26" s="154">
        <v>20</v>
      </c>
      <c r="C26" s="198" t="s">
        <v>1149</v>
      </c>
      <c r="D26" s="325" t="s">
        <v>1148</v>
      </c>
      <c r="E26" s="326" t="s">
        <v>85</v>
      </c>
      <c r="F26" s="326" t="s">
        <v>897</v>
      </c>
      <c r="G26" s="198">
        <v>1</v>
      </c>
      <c r="H26" s="329" t="s">
        <v>1151</v>
      </c>
      <c r="I26" s="327" t="s">
        <v>1187</v>
      </c>
      <c r="J26" s="326" t="s">
        <v>1150</v>
      </c>
      <c r="K26" s="155">
        <v>218250</v>
      </c>
      <c r="L26" s="156">
        <f>IF(K26&gt;=Datos!$D$14,(Datos!$D$14*Datos!$C$14),IF(K26&lt;=Datos!$D$14,(K26*Datos!$C$14)))</f>
        <v>6263.7749999999996</v>
      </c>
      <c r="M26" s="156">
        <v>5883.16</v>
      </c>
      <c r="N26" s="60"/>
      <c r="O26" s="60">
        <f t="shared" si="0"/>
        <v>206103.065</v>
      </c>
      <c r="P26" s="60">
        <v>40108.629999999997</v>
      </c>
      <c r="Q26" s="60"/>
      <c r="R26" s="60">
        <v>25</v>
      </c>
      <c r="S26" s="60"/>
      <c r="T26" s="60">
        <f t="shared" si="1"/>
        <v>52280.564999999995</v>
      </c>
      <c r="U26" s="60">
        <f t="shared" si="2"/>
        <v>165969.435</v>
      </c>
      <c r="V26" s="199"/>
      <c r="W26" s="328">
        <v>45108</v>
      </c>
      <c r="X26" s="328">
        <v>45292</v>
      </c>
    </row>
    <row r="27" spans="1:24" s="135" customFormat="1" ht="30" customHeight="1" x14ac:dyDescent="0.25">
      <c r="A27" s="133"/>
      <c r="B27" s="154">
        <v>21</v>
      </c>
      <c r="C27" s="198" t="s">
        <v>1704</v>
      </c>
      <c r="D27" s="325" t="s">
        <v>1705</v>
      </c>
      <c r="E27" s="326" t="s">
        <v>85</v>
      </c>
      <c r="F27" s="326" t="s">
        <v>897</v>
      </c>
      <c r="G27" s="198">
        <v>1</v>
      </c>
      <c r="H27" s="329" t="s">
        <v>1187</v>
      </c>
      <c r="I27" s="327" t="s">
        <v>1187</v>
      </c>
      <c r="J27" s="326" t="s">
        <v>1700</v>
      </c>
      <c r="K27" s="155">
        <v>85000</v>
      </c>
      <c r="L27" s="156">
        <f>IF(K27&gt;=Datos!$D$14,(Datos!$D$14*Datos!$C$14),IF(K27&lt;=Datos!$D$14,(K27*Datos!$C$14)))</f>
        <v>2439.5</v>
      </c>
      <c r="M27" s="156">
        <f>IF(K27&gt;=Datos!$D$15,(Datos!$D$15*Datos!$C$15),IF(K27&lt;=Datos!$D$15,(K27*Datos!$C$15)))</f>
        <v>2584</v>
      </c>
      <c r="N27" s="60"/>
      <c r="O27" s="60">
        <f t="shared" si="0"/>
        <v>79976.5</v>
      </c>
      <c r="P27" s="60">
        <f>IF(O27&lt;=Datos!$G$7,"0",IF(O27&lt;=Datos!$G$8,(O27-Datos!$F$8)*Datos!$I$6,IF(O27&lt;=Datos!$G$9,Datos!$I$8+(O27-Datos!$F$9)*Datos!$J$6,IF(O27&gt;=Datos!$F$10,(Datos!$I$8+Datos!$J$8)+(O27-Datos!$F$10)*Datos!$K$6))))</f>
        <v>8576.9856666666674</v>
      </c>
      <c r="Q27" s="60"/>
      <c r="R27" s="60">
        <v>25</v>
      </c>
      <c r="S27" s="60"/>
      <c r="T27" s="60">
        <f t="shared" si="1"/>
        <v>13625.485666666667</v>
      </c>
      <c r="U27" s="60">
        <f t="shared" si="2"/>
        <v>71374.514333333325</v>
      </c>
      <c r="V27" s="199">
        <v>9607405795</v>
      </c>
      <c r="W27" s="328">
        <v>45536</v>
      </c>
      <c r="X27" s="328">
        <v>45717</v>
      </c>
    </row>
    <row r="28" spans="1:24" s="135" customFormat="1" ht="27" customHeight="1" x14ac:dyDescent="0.25">
      <c r="A28" s="133"/>
      <c r="B28" s="154">
        <v>22</v>
      </c>
      <c r="C28" s="198" t="s">
        <v>1135</v>
      </c>
      <c r="D28" s="325" t="s">
        <v>1136</v>
      </c>
      <c r="E28" s="326" t="s">
        <v>85</v>
      </c>
      <c r="F28" s="326" t="s">
        <v>897</v>
      </c>
      <c r="G28" s="198">
        <v>1</v>
      </c>
      <c r="H28" s="329" t="s">
        <v>1215</v>
      </c>
      <c r="I28" s="327" t="s">
        <v>1277</v>
      </c>
      <c r="J28" s="326" t="s">
        <v>1278</v>
      </c>
      <c r="K28" s="155">
        <v>110000</v>
      </c>
      <c r="L28" s="156">
        <f>IF(K28&gt;=Datos!$D$14,(Datos!$D$14*Datos!$C$14),IF(K28&lt;=Datos!$D$14,(K28*Datos!$C$14)))</f>
        <v>3157</v>
      </c>
      <c r="M28" s="156">
        <f>IF(K28&gt;=Datos!$D$15,(Datos!$D$15*Datos!$C$15),IF(K28&lt;=Datos!$D$15,(K28*Datos!$C$15)))</f>
        <v>3344</v>
      </c>
      <c r="N28" s="60"/>
      <c r="O28" s="60">
        <f t="shared" si="0"/>
        <v>103499</v>
      </c>
      <c r="P28" s="60">
        <f>IF(O28&lt;=Datos!$G$7,"0",IF(O28&lt;=Datos!$G$8,(O28-Datos!$F$8)*Datos!$I$6,IF(O28&lt;=Datos!$G$9,Datos!$I$8+(O28-Datos!$F$9)*Datos!$J$6,IF(O28&gt;=Datos!$F$10,(Datos!$I$8+Datos!$J$8)+(O28-Datos!$F$10)*Datos!$K$6))))</f>
        <v>14457.610666666667</v>
      </c>
      <c r="Q28" s="60"/>
      <c r="R28" s="60">
        <v>25</v>
      </c>
      <c r="S28" s="60"/>
      <c r="T28" s="60">
        <f t="shared" si="1"/>
        <v>20983.610666666667</v>
      </c>
      <c r="U28" s="60">
        <f t="shared" si="2"/>
        <v>89016.389333333325</v>
      </c>
      <c r="V28" s="199"/>
      <c r="W28" s="328">
        <v>45231</v>
      </c>
      <c r="X28" s="328">
        <v>45413</v>
      </c>
    </row>
    <row r="29" spans="1:24" s="135" customFormat="1" ht="27" customHeight="1" x14ac:dyDescent="0.25">
      <c r="A29" s="133"/>
      <c r="B29" s="154">
        <v>23</v>
      </c>
      <c r="C29" s="198" t="s">
        <v>1945</v>
      </c>
      <c r="D29" s="325" t="s">
        <v>1946</v>
      </c>
      <c r="E29" s="326" t="s">
        <v>85</v>
      </c>
      <c r="F29" s="326" t="s">
        <v>897</v>
      </c>
      <c r="G29" s="198">
        <v>5</v>
      </c>
      <c r="H29" s="329" t="s">
        <v>1210</v>
      </c>
      <c r="I29" s="327" t="s">
        <v>1062</v>
      </c>
      <c r="J29" s="326" t="s">
        <v>1947</v>
      </c>
      <c r="K29" s="155">
        <v>60000</v>
      </c>
      <c r="L29" s="156">
        <f>IF(K29&gt;=Datos!$D$14,(Datos!$D$14*Datos!$C$14),IF(K29&lt;=Datos!$D$14,(K29*Datos!$C$14)))</f>
        <v>1722</v>
      </c>
      <c r="M29" s="156">
        <f>IF(K29&gt;=Datos!$D$15,(Datos!$D$15*Datos!$C$15),IF(K29&lt;=Datos!$D$15,(K29*Datos!$C$15)))</f>
        <v>1824</v>
      </c>
      <c r="N29" s="60"/>
      <c r="O29" s="60">
        <f t="shared" ref="O29" si="6">+K29-(L29+M29+N29)</f>
        <v>56454</v>
      </c>
      <c r="P29" s="60">
        <f>IF(O29&lt;=Datos!$G$7,"0",IF(O29&lt;=Datos!$G$8,(O29-Datos!$F$8)*Datos!$I$6,IF(O29&lt;=Datos!$G$9,Datos!$I$8+(O29-Datos!$F$9)*Datos!$J$6,IF(O29&gt;=Datos!$F$10,(Datos!$I$8+Datos!$J$8)+(O29-Datos!$F$10)*Datos!$K$6))))</f>
        <v>3486.6756666666661</v>
      </c>
      <c r="Q29" s="60"/>
      <c r="R29" s="60">
        <v>25</v>
      </c>
      <c r="S29" s="60"/>
      <c r="T29" s="60">
        <f t="shared" si="1"/>
        <v>7057.6756666666661</v>
      </c>
      <c r="U29" s="60">
        <f t="shared" si="2"/>
        <v>52942.324333333338</v>
      </c>
      <c r="V29" s="199">
        <v>9607759022</v>
      </c>
      <c r="W29" s="328">
        <v>45627</v>
      </c>
      <c r="X29" s="328">
        <v>45352</v>
      </c>
    </row>
    <row r="30" spans="1:24" s="135" customFormat="1" ht="29.25" customHeight="1" x14ac:dyDescent="0.25">
      <c r="A30" s="133"/>
      <c r="B30" s="154">
        <v>24</v>
      </c>
      <c r="C30" s="198" t="s">
        <v>555</v>
      </c>
      <c r="D30" s="325" t="s">
        <v>794</v>
      </c>
      <c r="E30" s="326" t="s">
        <v>86</v>
      </c>
      <c r="F30" s="326" t="s">
        <v>897</v>
      </c>
      <c r="G30" s="198">
        <v>1</v>
      </c>
      <c r="H30" s="329" t="s">
        <v>1210</v>
      </c>
      <c r="I30" s="327" t="s">
        <v>1060</v>
      </c>
      <c r="J30" s="325" t="s">
        <v>1233</v>
      </c>
      <c r="K30" s="155">
        <v>68250</v>
      </c>
      <c r="L30" s="156">
        <f>IF(K30&gt;=Datos!$D$14,(Datos!$D$14*Datos!$C$14),IF(K30&lt;=Datos!$D$14,(K30*Datos!$C$14)))</f>
        <v>1958.7750000000001</v>
      </c>
      <c r="M30" s="156">
        <f>IF(K30&gt;=Datos!$D$15,(Datos!$D$15*Datos!$C$15),IF(K30&lt;=Datos!$D$15,(K30*Datos!$C$15)))</f>
        <v>2074.8000000000002</v>
      </c>
      <c r="N30" s="60"/>
      <c r="O30" s="60">
        <f t="shared" si="0"/>
        <v>64216.425000000003</v>
      </c>
      <c r="P30" s="60">
        <f>IF(O30&lt;=Datos!$G$7,"0",IF(O30&lt;=Datos!$G$8,(O30-Datos!$F$8)*Datos!$I$6,IF(O30&lt;=Datos!$G$9,Datos!$I$8+(O30-Datos!$F$9)*Datos!$J$6,IF(O30&gt;=Datos!$F$10,(Datos!$I$8+Datos!$J$8)+(O30-Datos!$F$10)*Datos!$K$6))))</f>
        <v>5039.1606666666667</v>
      </c>
      <c r="Q30" s="60"/>
      <c r="R30" s="60">
        <v>25</v>
      </c>
      <c r="S30" s="60"/>
      <c r="T30" s="60">
        <f t="shared" si="1"/>
        <v>9097.7356666666674</v>
      </c>
      <c r="U30" s="60">
        <f t="shared" si="2"/>
        <v>59152.264333333333</v>
      </c>
      <c r="V30" s="199"/>
      <c r="W30" s="328">
        <v>44986</v>
      </c>
      <c r="X30" s="328">
        <v>45139</v>
      </c>
    </row>
    <row r="31" spans="1:24" s="135" customFormat="1" ht="18" customHeight="1" x14ac:dyDescent="0.25">
      <c r="A31" s="133"/>
      <c r="B31" s="154">
        <v>25</v>
      </c>
      <c r="C31" s="198" t="s">
        <v>1357</v>
      </c>
      <c r="D31" s="325" t="s">
        <v>1358</v>
      </c>
      <c r="E31" s="326" t="s">
        <v>86</v>
      </c>
      <c r="F31" s="326" t="s">
        <v>897</v>
      </c>
      <c r="G31" s="198">
        <v>1</v>
      </c>
      <c r="H31" s="329" t="s">
        <v>1535</v>
      </c>
      <c r="I31" s="327" t="s">
        <v>1187</v>
      </c>
      <c r="J31" s="325" t="s">
        <v>1359</v>
      </c>
      <c r="K31" s="155">
        <v>140000</v>
      </c>
      <c r="L31" s="156">
        <f>IF(K31&gt;=Datos!$D$14,(Datos!$D$14*Datos!$C$14),IF(K31&lt;=Datos!$D$14,(K31*Datos!$C$14)))</f>
        <v>4018</v>
      </c>
      <c r="M31" s="156">
        <f>IF(K31&gt;=Datos!$D$15,(Datos!$D$15*Datos!$C$15),IF(K31&lt;=Datos!$D$15,(K31*Datos!$C$15)))</f>
        <v>4256</v>
      </c>
      <c r="N31" s="60"/>
      <c r="O31" s="60">
        <f t="shared" si="0"/>
        <v>131726</v>
      </c>
      <c r="P31" s="60">
        <f>IF(O31&lt;=Datos!$G$7,"0",IF(O31&lt;=Datos!$G$8,(O31-Datos!$F$8)*Datos!$I$6,IF(O31&lt;=Datos!$G$9,Datos!$I$8+(O31-Datos!$F$9)*Datos!$J$6,IF(O31&gt;=Datos!$F$10,(Datos!$I$8+Datos!$J$8)+(O31-Datos!$F$10)*Datos!$K$6))))</f>
        <v>21514.360666666667</v>
      </c>
      <c r="Q31" s="60"/>
      <c r="R31" s="60">
        <v>25</v>
      </c>
      <c r="S31" s="60"/>
      <c r="T31" s="60">
        <f t="shared" si="1"/>
        <v>29813.360666666667</v>
      </c>
      <c r="U31" s="60">
        <f t="shared" si="2"/>
        <v>110186.63933333333</v>
      </c>
      <c r="V31" s="199"/>
      <c r="W31" s="328">
        <v>45170</v>
      </c>
      <c r="X31" s="328">
        <v>45352</v>
      </c>
    </row>
    <row r="32" spans="1:24" s="135" customFormat="1" ht="31.5" customHeight="1" x14ac:dyDescent="0.25">
      <c r="B32" s="160"/>
      <c r="C32" s="160"/>
      <c r="G32" s="160"/>
      <c r="H32" s="161"/>
      <c r="I32" s="162"/>
      <c r="J32" s="160"/>
      <c r="K32" s="163"/>
      <c r="L32" s="164"/>
      <c r="M32" s="164"/>
      <c r="N32" s="165"/>
      <c r="O32" s="165"/>
      <c r="P32" s="165"/>
      <c r="Q32" s="165"/>
      <c r="R32" s="165"/>
      <c r="S32" s="165"/>
      <c r="T32" s="165"/>
      <c r="U32" s="165"/>
      <c r="V32" s="166"/>
      <c r="W32" s="167"/>
      <c r="X32" s="167"/>
    </row>
    <row r="33" spans="2:23" ht="16.5" thickBot="1" x14ac:dyDescent="0.3">
      <c r="D33" s="50"/>
      <c r="E33" s="50"/>
      <c r="F33" s="50"/>
      <c r="G33" s="50"/>
      <c r="H33" s="141"/>
      <c r="I33" s="50"/>
      <c r="J33" s="50"/>
      <c r="K33" s="51"/>
      <c r="L33" s="52"/>
      <c r="M33" s="53"/>
      <c r="N33" s="54"/>
      <c r="O33" s="54"/>
      <c r="P33" s="55"/>
      <c r="Q33" s="54"/>
      <c r="R33" s="54"/>
      <c r="S33" s="54"/>
      <c r="T33" s="54"/>
      <c r="U33" s="51"/>
    </row>
    <row r="34" spans="2:23" ht="16.5" thickBot="1" x14ac:dyDescent="0.3">
      <c r="B34" s="419" t="s">
        <v>41</v>
      </c>
      <c r="C34" s="420"/>
      <c r="D34" s="420"/>
      <c r="E34" s="421"/>
      <c r="F34" s="242"/>
      <c r="G34" s="242"/>
      <c r="H34" s="244"/>
      <c r="I34" s="242"/>
      <c r="J34" s="242"/>
      <c r="K34" s="243">
        <f t="shared" ref="K34:U34" si="7">SUM(K7:K33)</f>
        <v>2408983.33</v>
      </c>
      <c r="L34" s="243">
        <f t="shared" si="7"/>
        <v>69137.821571000008</v>
      </c>
      <c r="M34" s="243">
        <f t="shared" si="7"/>
        <v>72481.453232</v>
      </c>
      <c r="N34" s="243">
        <f t="shared" si="7"/>
        <v>1715.46</v>
      </c>
      <c r="O34" s="243">
        <f t="shared" si="7"/>
        <v>2265648.5951970001</v>
      </c>
      <c r="P34" s="243">
        <f t="shared" si="7"/>
        <v>303263.34246591665</v>
      </c>
      <c r="Q34" s="243">
        <f t="shared" si="7"/>
        <v>1513.05</v>
      </c>
      <c r="R34" s="243">
        <f t="shared" si="7"/>
        <v>625</v>
      </c>
      <c r="S34" s="243">
        <f t="shared" si="7"/>
        <v>0</v>
      </c>
      <c r="T34" s="243">
        <f t="shared" si="7"/>
        <v>448736.12726891658</v>
      </c>
      <c r="U34" s="243">
        <f t="shared" si="7"/>
        <v>1960247.2027310834</v>
      </c>
    </row>
    <row r="35" spans="2:23" x14ac:dyDescent="0.25">
      <c r="K35" s="63"/>
    </row>
    <row r="36" spans="2:23" ht="16.5" thickBot="1" x14ac:dyDescent="0.3">
      <c r="J36" s="14" t="s">
        <v>1356</v>
      </c>
      <c r="K36" s="61"/>
      <c r="L36" s="61"/>
      <c r="M36" s="61"/>
      <c r="P36" s="61"/>
    </row>
    <row r="37" spans="2:23" ht="16.5" thickBot="1" x14ac:dyDescent="0.3">
      <c r="B37" s="400" t="s">
        <v>869</v>
      </c>
      <c r="C37" s="401"/>
      <c r="D37" s="401"/>
      <c r="E37" s="402"/>
      <c r="F37" s="94"/>
      <c r="G37" s="94"/>
      <c r="H37" s="143"/>
      <c r="I37" s="94"/>
      <c r="J37" s="94"/>
      <c r="K37" s="78">
        <v>1963950.83</v>
      </c>
      <c r="L37" s="78">
        <v>56365.4</v>
      </c>
      <c r="M37" s="78">
        <v>58754.713232000009</v>
      </c>
      <c r="N37" s="78"/>
      <c r="O37" s="78"/>
      <c r="P37" s="78">
        <v>255812.9206666667</v>
      </c>
      <c r="Q37" s="78"/>
      <c r="R37" s="78">
        <v>500</v>
      </c>
      <c r="S37" s="78"/>
      <c r="T37" s="78">
        <v>371433.03066666669</v>
      </c>
      <c r="U37" s="78">
        <v>1592517.7993333333</v>
      </c>
    </row>
    <row r="38" spans="2:23" x14ac:dyDescent="0.25">
      <c r="K38" s="85"/>
      <c r="L38" s="14" t="s">
        <v>1356</v>
      </c>
      <c r="T38"/>
      <c r="U38"/>
      <c r="V38"/>
      <c r="W38"/>
    </row>
    <row r="39" spans="2:23" x14ac:dyDescent="0.25">
      <c r="K39" s="61">
        <f>+K37-K34</f>
        <v>-445032.5</v>
      </c>
      <c r="L39" s="61">
        <f t="shared" ref="L39:U39" si="8">+L37-L34</f>
        <v>-12772.421571000006</v>
      </c>
      <c r="M39" s="61">
        <f t="shared" si="8"/>
        <v>-13726.739999999991</v>
      </c>
      <c r="N39" s="61">
        <f t="shared" si="8"/>
        <v>-1715.46</v>
      </c>
      <c r="O39" s="61"/>
      <c r="P39" s="61">
        <f t="shared" si="8"/>
        <v>-47450.421799249947</v>
      </c>
      <c r="Q39" s="61">
        <f t="shared" si="8"/>
        <v>-1513.05</v>
      </c>
      <c r="R39" s="61">
        <f t="shared" si="8"/>
        <v>-125</v>
      </c>
      <c r="S39" s="61">
        <f t="shared" si="8"/>
        <v>0</v>
      </c>
      <c r="T39" s="61">
        <f t="shared" si="8"/>
        <v>-77303.096602249891</v>
      </c>
      <c r="U39" s="61">
        <f t="shared" si="8"/>
        <v>-367729.40339775011</v>
      </c>
      <c r="V39"/>
      <c r="W39"/>
    </row>
    <row r="40" spans="2:23" x14ac:dyDescent="0.25">
      <c r="K40" s="62"/>
      <c r="O40" s="63"/>
      <c r="T40"/>
      <c r="U40"/>
      <c r="V40"/>
      <c r="W40"/>
    </row>
    <row r="41" spans="2:23" x14ac:dyDescent="0.25">
      <c r="K41" s="62"/>
      <c r="O41" s="63"/>
      <c r="T41"/>
      <c r="U41"/>
      <c r="V41"/>
      <c r="W41"/>
    </row>
    <row r="42" spans="2:23" x14ac:dyDescent="0.25">
      <c r="K42" s="62"/>
      <c r="T42"/>
      <c r="U42"/>
      <c r="V42"/>
      <c r="W42"/>
    </row>
    <row r="43" spans="2:23" x14ac:dyDescent="0.25">
      <c r="K43" s="62"/>
      <c r="T43"/>
      <c r="U43"/>
      <c r="V43"/>
      <c r="W43"/>
    </row>
    <row r="44" spans="2:23" x14ac:dyDescent="0.25">
      <c r="K44" s="63"/>
    </row>
  </sheetData>
  <sortState xmlns:xlrd2="http://schemas.microsoft.com/office/spreadsheetml/2017/richdata2" ref="C7:U21">
    <sortCondition ref="D7:D21"/>
  </sortState>
  <mergeCells count="4">
    <mergeCell ref="B3:U3"/>
    <mergeCell ref="B4:U4"/>
    <mergeCell ref="B34:E34"/>
    <mergeCell ref="B37:E37"/>
  </mergeCells>
  <phoneticPr fontId="29" type="noConversion"/>
  <pageMargins left="0.70866141732283505" right="0.70866141732283505" top="0.74803149606299202" bottom="0.74803149606299202" header="0.31496062992126" footer="0.31496062992126"/>
  <pageSetup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7:M47"/>
  <sheetViews>
    <sheetView showGridLines="0" topLeftCell="A13" zoomScale="84" zoomScaleNormal="84" zoomScaleSheetLayoutView="100" workbookViewId="0">
      <selection activeCell="A12" sqref="A12:XFD12"/>
    </sheetView>
  </sheetViews>
  <sheetFormatPr baseColWidth="10" defaultColWidth="11.42578125" defaultRowHeight="15" x14ac:dyDescent="0.25"/>
  <cols>
    <col min="1" max="1" width="6.140625" style="123" customWidth="1"/>
    <col min="2" max="2" width="14.5703125" style="124" customWidth="1"/>
    <col min="3" max="3" width="29.28515625" style="125" customWidth="1"/>
    <col min="4" max="4" width="13.28515625" style="125" bestFit="1" customWidth="1"/>
    <col min="5" max="5" width="11.7109375" style="125" customWidth="1"/>
    <col min="6" max="6" width="29.28515625" style="125" customWidth="1"/>
    <col min="7" max="9" width="22" style="130" customWidth="1"/>
    <col min="10" max="10" width="18.42578125" style="125" customWidth="1"/>
    <col min="11" max="11" width="14" style="116" customWidth="1"/>
    <col min="12" max="12" width="14.42578125" style="116" customWidth="1"/>
    <col min="13" max="13" width="12.28515625" style="116" bestFit="1" customWidth="1"/>
    <col min="14" max="16384" width="11.42578125" style="116"/>
  </cols>
  <sheetData>
    <row r="7" spans="1:11" x14ac:dyDescent="0.25">
      <c r="G7" s="126"/>
      <c r="H7" s="126"/>
      <c r="I7" s="126"/>
    </row>
    <row r="8" spans="1:11" x14ac:dyDescent="0.25">
      <c r="G8" s="126"/>
      <c r="H8" s="126"/>
      <c r="I8" s="126"/>
    </row>
    <row r="9" spans="1:11" x14ac:dyDescent="0.25">
      <c r="A9" s="137" t="s">
        <v>1961</v>
      </c>
      <c r="B9" s="138"/>
      <c r="C9" s="138"/>
      <c r="D9" s="138"/>
      <c r="E9" s="138"/>
      <c r="F9" s="138"/>
      <c r="G9" s="138"/>
      <c r="H9" s="138"/>
      <c r="I9" s="138"/>
      <c r="J9" s="138"/>
      <c r="K9"/>
    </row>
    <row r="10" spans="1:11" x14ac:dyDescent="0.25">
      <c r="A10" s="116" t="s">
        <v>1189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1" s="118" customFormat="1" ht="30" x14ac:dyDescent="0.25">
      <c r="A11" s="97" t="s">
        <v>1166</v>
      </c>
      <c r="B11" s="97" t="s">
        <v>1167</v>
      </c>
      <c r="C11" s="97" t="s">
        <v>1168</v>
      </c>
      <c r="D11" s="97" t="s">
        <v>1169</v>
      </c>
      <c r="E11" s="97" t="s">
        <v>1197</v>
      </c>
      <c r="F11" s="97" t="s">
        <v>1170</v>
      </c>
      <c r="G11" s="97" t="s">
        <v>1171</v>
      </c>
      <c r="H11" s="117" t="s">
        <v>1190</v>
      </c>
      <c r="I11" s="117" t="s">
        <v>1174</v>
      </c>
      <c r="J11" s="117" t="s">
        <v>1172</v>
      </c>
      <c r="K11"/>
    </row>
    <row r="12" spans="1:11" x14ac:dyDescent="0.25">
      <c r="A12" s="119"/>
      <c r="B12" s="108"/>
      <c r="C12" s="120"/>
      <c r="D12" s="121"/>
      <c r="E12" s="121"/>
      <c r="F12" s="121"/>
      <c r="G12" s="170"/>
      <c r="H12" s="212"/>
      <c r="I12" s="304"/>
      <c r="J12" s="274"/>
      <c r="K12"/>
    </row>
    <row r="13" spans="1:11" ht="15.75" x14ac:dyDescent="0.25">
      <c r="A13" s="127"/>
      <c r="D13" s="128"/>
      <c r="E13" s="128"/>
      <c r="G13" s="129"/>
      <c r="H13" s="129"/>
      <c r="I13" s="139"/>
      <c r="J13" s="275">
        <f>SUM(J12:J12)</f>
        <v>0</v>
      </c>
      <c r="K13"/>
    </row>
    <row r="14" spans="1:11" x14ac:dyDescent="0.25">
      <c r="A14" s="127"/>
      <c r="D14" s="128"/>
      <c r="E14" s="128"/>
      <c r="G14" s="129"/>
      <c r="H14" s="129"/>
      <c r="I14"/>
      <c r="J14" s="159"/>
      <c r="K14"/>
    </row>
    <row r="15" spans="1:11" x14ac:dyDescent="0.25">
      <c r="A15" s="137" t="s">
        <v>1962</v>
      </c>
      <c r="B15" s="138"/>
      <c r="C15" s="138"/>
      <c r="D15" s="138"/>
      <c r="E15" s="138"/>
      <c r="F15" s="138"/>
      <c r="G15" s="138"/>
      <c r="H15" s="138"/>
      <c r="I15" s="138"/>
      <c r="J15" s="138"/>
      <c r="K15"/>
    </row>
    <row r="16" spans="1:11" x14ac:dyDescent="0.25">
      <c r="A16" s="116" t="s">
        <v>1189</v>
      </c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2" s="118" customFormat="1" ht="30" x14ac:dyDescent="0.25">
      <c r="A17" s="97" t="s">
        <v>1166</v>
      </c>
      <c r="B17" s="97" t="s">
        <v>1167</v>
      </c>
      <c r="C17" s="97" t="s">
        <v>1168</v>
      </c>
      <c r="D17" s="97" t="s">
        <v>1169</v>
      </c>
      <c r="E17" s="97" t="s">
        <v>1197</v>
      </c>
      <c r="F17" s="97" t="s">
        <v>1170</v>
      </c>
      <c r="G17" s="97" t="s">
        <v>1171</v>
      </c>
      <c r="H17" s="117" t="s">
        <v>1470</v>
      </c>
      <c r="I17" s="117" t="s">
        <v>1173</v>
      </c>
      <c r="J17" s="117" t="s">
        <v>1240</v>
      </c>
      <c r="K17" s="97" t="s">
        <v>1174</v>
      </c>
      <c r="L17" s="97" t="s">
        <v>1190</v>
      </c>
    </row>
    <row r="18" spans="1:12" x14ac:dyDescent="0.25">
      <c r="A18" s="119"/>
      <c r="B18" s="108"/>
      <c r="C18" s="181"/>
      <c r="D18" s="121"/>
      <c r="E18" s="121"/>
      <c r="F18" s="121"/>
      <c r="G18" s="192"/>
      <c r="H18" s="246"/>
      <c r="I18" s="246"/>
      <c r="J18" s="246"/>
      <c r="K18" s="132"/>
      <c r="L18" s="132"/>
    </row>
    <row r="19" spans="1:12" x14ac:dyDescent="0.25">
      <c r="A19" s="127"/>
      <c r="D19" s="128"/>
      <c r="E19" s="128"/>
      <c r="G19" s="151"/>
      <c r="H19" s="151">
        <f>SUM(H18:H18)</f>
        <v>0</v>
      </c>
      <c r="I19" s="151">
        <f>SUM(I18:I18)</f>
        <v>0</v>
      </c>
      <c r="J19" s="151">
        <f>SUM(J18:J18)</f>
        <v>0</v>
      </c>
      <c r="K19" s="157"/>
    </row>
    <row r="20" spans="1:12" x14ac:dyDescent="0.25">
      <c r="A20" s="127"/>
      <c r="D20" s="128"/>
      <c r="E20" s="128"/>
      <c r="G20" s="129"/>
      <c r="H20" s="129"/>
      <c r="I20"/>
      <c r="J20"/>
      <c r="K20"/>
    </row>
    <row r="21" spans="1:12" x14ac:dyDescent="0.25">
      <c r="A21" s="127"/>
      <c r="D21" s="128"/>
      <c r="E21" s="128"/>
      <c r="G21" s="129"/>
      <c r="H21" s="129"/>
      <c r="I21"/>
      <c r="J21"/>
      <c r="K21"/>
    </row>
    <row r="22" spans="1:12" x14ac:dyDescent="0.25">
      <c r="A22" s="112" t="s">
        <v>1954</v>
      </c>
      <c r="B22" s="113"/>
      <c r="C22" s="114"/>
      <c r="D22" s="114"/>
      <c r="E22" s="114"/>
      <c r="F22" s="114"/>
      <c r="G22" s="114"/>
      <c r="H22" s="115"/>
      <c r="I22" s="115"/>
      <c r="J22"/>
      <c r="K22"/>
    </row>
    <row r="23" spans="1:12" x14ac:dyDescent="0.25">
      <c r="A23" s="116" t="s">
        <v>1189</v>
      </c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2" ht="30" x14ac:dyDescent="0.25">
      <c r="A24" s="97" t="s">
        <v>1166</v>
      </c>
      <c r="B24" s="97" t="s">
        <v>1167</v>
      </c>
      <c r="C24" s="97" t="s">
        <v>1168</v>
      </c>
      <c r="D24" s="97" t="s">
        <v>1169</v>
      </c>
      <c r="E24" s="97" t="s">
        <v>1197</v>
      </c>
      <c r="F24" s="97" t="s">
        <v>1170</v>
      </c>
      <c r="G24" s="97" t="s">
        <v>1171</v>
      </c>
      <c r="H24" s="117" t="s">
        <v>1174</v>
      </c>
      <c r="I24" s="117" t="s">
        <v>1275</v>
      </c>
      <c r="J24" s="248" t="s">
        <v>1455</v>
      </c>
      <c r="K24"/>
    </row>
    <row r="25" spans="1:12" x14ac:dyDescent="0.25">
      <c r="A25" s="119"/>
      <c r="B25" s="108"/>
      <c r="C25" s="120"/>
      <c r="D25" s="121"/>
      <c r="E25" s="121"/>
      <c r="F25" s="121"/>
      <c r="G25" s="170"/>
      <c r="H25" s="212"/>
      <c r="I25" s="218"/>
      <c r="J25" s="255"/>
      <c r="K25"/>
    </row>
    <row r="26" spans="1:12" customFormat="1" x14ac:dyDescent="0.25">
      <c r="I26" s="152">
        <f>SUM(I25:I25)</f>
        <v>0</v>
      </c>
    </row>
    <row r="27" spans="1:12" customFormat="1" x14ac:dyDescent="0.25">
      <c r="I27" s="152"/>
    </row>
    <row r="28" spans="1:12" x14ac:dyDescent="0.25">
      <c r="A28" s="127"/>
      <c r="D28" s="128"/>
      <c r="E28" s="128"/>
      <c r="F28" s="128"/>
      <c r="G28" s="125"/>
      <c r="H28" s="129"/>
      <c r="I28" s="151"/>
      <c r="J28"/>
      <c r="K28"/>
    </row>
    <row r="29" spans="1:12" x14ac:dyDescent="0.25">
      <c r="A29" s="127"/>
      <c r="D29" s="128"/>
      <c r="E29" s="128"/>
      <c r="F29" s="128"/>
      <c r="G29" s="125"/>
      <c r="H29" s="129"/>
      <c r="I29" s="129"/>
      <c r="J29"/>
      <c r="K29"/>
    </row>
    <row r="30" spans="1:12" x14ac:dyDescent="0.25">
      <c r="A30" s="127"/>
      <c r="C30" s="407"/>
      <c r="D30" s="407"/>
      <c r="E30" s="128"/>
      <c r="F30" s="128"/>
      <c r="G30" s="125"/>
      <c r="H30" s="129"/>
      <c r="I30" s="129"/>
      <c r="J30" s="403"/>
      <c r="K30" s="403"/>
    </row>
    <row r="31" spans="1:12" x14ac:dyDescent="0.25">
      <c r="A31" s="127"/>
      <c r="C31" s="405" t="s">
        <v>1486</v>
      </c>
      <c r="D31" s="405"/>
      <c r="E31" s="128"/>
      <c r="F31" s="128"/>
      <c r="G31" s="404" t="s">
        <v>1227</v>
      </c>
      <c r="H31" s="404"/>
      <c r="I31" s="129"/>
      <c r="J31" s="116"/>
    </row>
    <row r="32" spans="1:12" x14ac:dyDescent="0.25">
      <c r="A32" s="127"/>
      <c r="C32" s="406" t="s">
        <v>1487</v>
      </c>
      <c r="D32" s="406"/>
      <c r="E32" s="128"/>
      <c r="F32" s="128"/>
      <c r="G32" s="403" t="s">
        <v>1225</v>
      </c>
      <c r="H32" s="403"/>
      <c r="I32" s="129"/>
      <c r="J32" s="116"/>
    </row>
    <row r="33" spans="1:13" x14ac:dyDescent="0.25">
      <c r="A33" s="127"/>
      <c r="C33" s="123"/>
      <c r="D33" s="123"/>
      <c r="E33" s="128"/>
      <c r="F33" s="128"/>
      <c r="G33" s="128"/>
      <c r="H33" s="128"/>
      <c r="I33" s="129"/>
      <c r="J33" s="116"/>
    </row>
    <row r="34" spans="1:13" x14ac:dyDescent="0.25">
      <c r="A34" s="127"/>
      <c r="C34" s="123"/>
      <c r="D34" s="123"/>
      <c r="E34" s="128"/>
      <c r="F34" s="128"/>
      <c r="G34" s="128"/>
      <c r="H34" s="128"/>
      <c r="I34" s="129"/>
      <c r="J34" s="116"/>
    </row>
    <row r="35" spans="1:13" x14ac:dyDescent="0.25">
      <c r="A35" s="127"/>
      <c r="D35" s="128"/>
      <c r="E35" s="128"/>
      <c r="G35" s="129"/>
      <c r="H35" s="129"/>
      <c r="I35"/>
      <c r="J35"/>
      <c r="K35"/>
    </row>
    <row r="36" spans="1:13" x14ac:dyDescent="0.25">
      <c r="A36" s="127"/>
      <c r="D36" s="128"/>
      <c r="E36" s="128"/>
      <c r="G36" s="129"/>
      <c r="H36" s="129"/>
      <c r="I36"/>
      <c r="J36"/>
      <c r="K36"/>
    </row>
    <row r="37" spans="1:13" x14ac:dyDescent="0.25">
      <c r="A37" s="127"/>
      <c r="D37" s="128"/>
      <c r="E37" s="128"/>
      <c r="G37" s="129"/>
      <c r="H37" s="129"/>
      <c r="I37"/>
      <c r="J37"/>
      <c r="K37"/>
    </row>
    <row r="38" spans="1:13" s="130" customFormat="1" ht="30" x14ac:dyDescent="0.25">
      <c r="A38" s="123"/>
      <c r="B38" s="124"/>
      <c r="C38" s="125"/>
      <c r="D38" s="125"/>
      <c r="E38" s="125"/>
      <c r="F38" s="125"/>
      <c r="G38" s="126" t="s">
        <v>1837</v>
      </c>
      <c r="H38" s="126">
        <v>2408983.33</v>
      </c>
      <c r="J38" s="125"/>
      <c r="K38" s="116"/>
      <c r="L38" s="116"/>
      <c r="M38" s="116"/>
    </row>
    <row r="40" spans="1:13" x14ac:dyDescent="0.25">
      <c r="H40" s="130">
        <f>+J13</f>
        <v>0</v>
      </c>
    </row>
    <row r="41" spans="1:13" x14ac:dyDescent="0.25">
      <c r="G41" s="130" t="s">
        <v>1199</v>
      </c>
      <c r="H41" s="130">
        <f>+J19</f>
        <v>0</v>
      </c>
    </row>
    <row r="42" spans="1:13" s="130" customFormat="1" ht="15.75" thickBot="1" x14ac:dyDescent="0.3">
      <c r="A42" s="123"/>
      <c r="B42" s="124"/>
      <c r="C42" s="125"/>
      <c r="D42" s="125"/>
      <c r="E42" s="125"/>
      <c r="F42" s="125"/>
      <c r="G42" s="130" t="s">
        <v>1230</v>
      </c>
      <c r="H42" s="153">
        <f>+I26</f>
        <v>0</v>
      </c>
      <c r="J42" s="125"/>
      <c r="K42" s="116"/>
      <c r="L42" s="116"/>
      <c r="M42" s="116"/>
    </row>
    <row r="43" spans="1:13" s="130" customFormat="1" ht="15.75" thickTop="1" x14ac:dyDescent="0.25">
      <c r="A43" s="123"/>
      <c r="B43" s="124"/>
      <c r="C43" s="125"/>
      <c r="D43" s="125"/>
      <c r="E43" s="125"/>
      <c r="F43" s="125"/>
      <c r="G43" s="130" t="s">
        <v>1198</v>
      </c>
      <c r="H43" s="130">
        <f>+H40+H41-H42</f>
        <v>0</v>
      </c>
      <c r="J43" s="125"/>
      <c r="K43" s="116"/>
      <c r="L43" s="116"/>
      <c r="M43" s="116"/>
    </row>
    <row r="45" spans="1:13" ht="15.75" thickBot="1" x14ac:dyDescent="0.3">
      <c r="G45" s="126" t="s">
        <v>1951</v>
      </c>
      <c r="H45" s="251">
        <f>+'Nómina CAID Eventual'!K34</f>
        <v>2408983.33</v>
      </c>
    </row>
    <row r="46" spans="1:13" ht="15.75" thickTop="1" x14ac:dyDescent="0.25"/>
    <row r="47" spans="1:13" x14ac:dyDescent="0.25">
      <c r="G47" s="126"/>
      <c r="H47" s="130">
        <f>+H38+H43</f>
        <v>2408983.33</v>
      </c>
    </row>
  </sheetData>
  <mergeCells count="6">
    <mergeCell ref="C30:D30"/>
    <mergeCell ref="J30:K30"/>
    <mergeCell ref="C31:D31"/>
    <mergeCell ref="G31:H31"/>
    <mergeCell ref="C32:D32"/>
    <mergeCell ref="G32:H32"/>
  </mergeCells>
  <printOptions horizontalCentered="1" verticalCentered="1"/>
  <pageMargins left="0.25" right="0.25" top="0.75" bottom="0.75" header="0.3" footer="0.3"/>
  <pageSetup scale="6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Y84"/>
  <sheetViews>
    <sheetView showGridLines="0" workbookViewId="0">
      <pane xSplit="4" ySplit="6" topLeftCell="G7" activePane="bottomRight" state="frozen"/>
      <selection pane="topRight" activeCell="E1" sqref="E1"/>
      <selection pane="bottomLeft" activeCell="A10" sqref="A10"/>
      <selection pane="bottomRight" activeCell="B4" sqref="B4:U4"/>
    </sheetView>
  </sheetViews>
  <sheetFormatPr baseColWidth="10" defaultColWidth="11.42578125" defaultRowHeight="15.75" x14ac:dyDescent="0.25"/>
  <cols>
    <col min="1" max="1" width="1.28515625" style="14" customWidth="1"/>
    <col min="2" max="2" width="12.140625" style="43" customWidth="1"/>
    <col min="3" max="3" width="23.42578125" style="43" customWidth="1"/>
    <col min="4" max="4" width="42.85546875" style="14" customWidth="1"/>
    <col min="5" max="5" width="16.7109375" style="14" customWidth="1"/>
    <col min="6" max="7" width="16.85546875" style="14" customWidth="1"/>
    <col min="8" max="8" width="27.140625" style="14" customWidth="1"/>
    <col min="9" max="9" width="29.28515625" style="14" customWidth="1"/>
    <col min="10" max="10" width="18.140625" style="14" customWidth="1"/>
    <col min="11" max="11" width="16.28515625" style="14" customWidth="1"/>
    <col min="12" max="12" width="17" style="14" customWidth="1"/>
    <col min="13" max="13" width="17.7109375" style="14" customWidth="1"/>
    <col min="14" max="14" width="22.42578125" style="14" customWidth="1"/>
    <col min="15" max="15" width="16" style="14" customWidth="1"/>
    <col min="16" max="16" width="22.140625" style="14" customWidth="1"/>
    <col min="17" max="19" width="17.7109375" style="14" customWidth="1"/>
    <col min="20" max="20" width="23.85546875" style="14" customWidth="1"/>
    <col min="21" max="21" width="18.140625" style="14" customWidth="1"/>
    <col min="22" max="22" width="22.85546875" style="14" customWidth="1"/>
    <col min="23" max="23" width="26" style="58" customWidth="1"/>
    <col min="24" max="24" width="21.85546875" style="14" customWidth="1"/>
    <col min="25" max="25" width="13.140625" style="14" bestFit="1" customWidth="1"/>
    <col min="26" max="26" width="11.42578125" style="14"/>
    <col min="27" max="27" width="23.140625" style="14" bestFit="1" customWidth="1"/>
    <col min="28" max="29" width="11.42578125" style="14"/>
    <col min="30" max="30" width="12.7109375" style="14" bestFit="1" customWidth="1"/>
    <col min="31" max="31" width="12.28515625" style="14" bestFit="1" customWidth="1"/>
    <col min="32" max="16384" width="11.42578125" style="14"/>
  </cols>
  <sheetData>
    <row r="3" spans="1:25" x14ac:dyDescent="0.25">
      <c r="B3" s="408" t="s">
        <v>44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9"/>
      <c r="W3" s="56"/>
      <c r="X3" s="49"/>
    </row>
    <row r="4" spans="1:25" x14ac:dyDescent="0.25">
      <c r="B4" s="408" t="s">
        <v>1950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9"/>
      <c r="W4" s="56"/>
      <c r="X4" s="49"/>
      <c r="Y4" s="49"/>
    </row>
    <row r="5" spans="1:25" ht="9" customHeight="1" thickBot="1" x14ac:dyDescent="0.3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7"/>
      <c r="R5" s="17"/>
      <c r="S5" s="17"/>
      <c r="T5" s="15"/>
      <c r="U5" s="15"/>
      <c r="V5" s="15"/>
      <c r="W5" s="57"/>
      <c r="X5" s="15"/>
      <c r="Y5" s="15"/>
    </row>
    <row r="6" spans="1:25" s="30" customFormat="1" ht="48" thickBot="1" x14ac:dyDescent="0.3">
      <c r="B6" s="71" t="s">
        <v>9</v>
      </c>
      <c r="C6" s="72" t="s">
        <v>45</v>
      </c>
      <c r="D6" s="73" t="s">
        <v>0</v>
      </c>
      <c r="E6" s="74" t="s">
        <v>46</v>
      </c>
      <c r="F6" s="74" t="s">
        <v>47</v>
      </c>
      <c r="G6" s="74" t="s">
        <v>1194</v>
      </c>
      <c r="H6" s="74" t="s">
        <v>1063</v>
      </c>
      <c r="I6" s="74" t="s">
        <v>866</v>
      </c>
      <c r="J6" s="75" t="s">
        <v>8</v>
      </c>
      <c r="K6" s="75" t="s">
        <v>868</v>
      </c>
      <c r="L6" s="75" t="s">
        <v>867</v>
      </c>
      <c r="M6" s="75" t="s">
        <v>1059</v>
      </c>
      <c r="N6" s="75" t="s">
        <v>36</v>
      </c>
      <c r="O6" s="75" t="s">
        <v>1</v>
      </c>
      <c r="P6" s="75" t="s">
        <v>1038</v>
      </c>
      <c r="Q6" s="75" t="s">
        <v>6</v>
      </c>
      <c r="R6" s="75" t="s">
        <v>1285</v>
      </c>
      <c r="S6" s="75" t="s">
        <v>43</v>
      </c>
      <c r="T6" s="75" t="s">
        <v>4</v>
      </c>
      <c r="U6" s="76" t="s">
        <v>5</v>
      </c>
      <c r="V6" s="76" t="s">
        <v>826</v>
      </c>
      <c r="W6" s="77" t="s">
        <v>825</v>
      </c>
    </row>
    <row r="7" spans="1:25" s="135" customFormat="1" ht="34.5" customHeight="1" x14ac:dyDescent="0.25">
      <c r="A7" s="133"/>
      <c r="B7" s="198">
        <v>1</v>
      </c>
      <c r="C7" s="154" t="s">
        <v>1537</v>
      </c>
      <c r="D7" s="133" t="s">
        <v>1538</v>
      </c>
      <c r="E7" s="133" t="s">
        <v>1539</v>
      </c>
      <c r="F7" s="276" t="s">
        <v>1540</v>
      </c>
      <c r="G7" s="154">
        <v>1</v>
      </c>
      <c r="H7" s="154" t="s">
        <v>1061</v>
      </c>
      <c r="I7" s="276" t="s">
        <v>1541</v>
      </c>
      <c r="J7" s="277">
        <v>153000</v>
      </c>
      <c r="K7" s="277">
        <f>IF(J7&gt;=Datos!$D$14,(Datos!$D$14*Datos!$C$14),IF(J7&lt;=Datos!$D$14,(J7*Datos!$C$14)))</f>
        <v>4391.1000000000004</v>
      </c>
      <c r="L7" s="277">
        <f>IF(J7&gt;=Datos!$D$15,(Datos!$D$15*Datos!$C$15),IF(J7&lt;=Datos!$D$15,(J7*Datos!$C$15)))</f>
        <v>4651.2</v>
      </c>
      <c r="M7" s="239"/>
      <c r="N7" s="239">
        <f t="shared" ref="N7" si="0">J7-(K7+L7+M7)</f>
        <v>143957.70000000001</v>
      </c>
      <c r="O7" s="239">
        <f>IF(N7&lt;=Datos!$G$7,"0",IF(N7&lt;=Datos!$G$8,(N7-Datos!$F$8)*Datos!$I$6,IF(N7&lt;=Datos!$G$9,Datos!$I$8+(N7-Datos!$F$9)*Datos!$J$6,IF(N7&gt;=Datos!$F$10,(Datos!$I$8+Datos!$J$8)+(N7-Datos!$F$10)*Datos!$K$6))))-V7</f>
        <v>24572.28566666667</v>
      </c>
      <c r="P7" s="278"/>
      <c r="Q7" s="239">
        <v>25</v>
      </c>
      <c r="R7" s="239"/>
      <c r="S7" s="239"/>
      <c r="T7" s="239">
        <f>SUM(O7:Q7)+(K7+L7+M7)-R7</f>
        <v>33639.585666666666</v>
      </c>
      <c r="U7" s="239">
        <f>+J7-T7</f>
        <v>119360.41433333333</v>
      </c>
      <c r="V7" s="199"/>
      <c r="W7" s="279">
        <v>42522</v>
      </c>
      <c r="X7" s="134"/>
      <c r="Y7" s="280"/>
    </row>
    <row r="8" spans="1:25" ht="16.5" thickBot="1" x14ac:dyDescent="0.3">
      <c r="J8" s="268"/>
      <c r="K8" s="269"/>
      <c r="L8" s="269"/>
      <c r="M8" s="270"/>
      <c r="N8" s="270"/>
      <c r="O8" s="271"/>
      <c r="P8" s="270"/>
      <c r="Q8" s="270"/>
      <c r="R8" s="270"/>
      <c r="S8" s="272"/>
      <c r="T8" s="270"/>
      <c r="U8" s="270"/>
      <c r="X8" s="63"/>
      <c r="Y8" s="63"/>
    </row>
    <row r="9" spans="1:25" ht="16.5" thickBot="1" x14ac:dyDescent="0.3">
      <c r="B9" s="397" t="s">
        <v>41</v>
      </c>
      <c r="C9" s="398"/>
      <c r="D9" s="398"/>
      <c r="E9" s="399"/>
      <c r="F9" s="101"/>
      <c r="G9" s="101"/>
      <c r="H9" s="101"/>
      <c r="I9" s="101"/>
      <c r="J9" s="267">
        <f t="shared" ref="J9:U9" si="1">SUM(J7:J8)</f>
        <v>153000</v>
      </c>
      <c r="K9" s="267">
        <f t="shared" si="1"/>
        <v>4391.1000000000004</v>
      </c>
      <c r="L9" s="267">
        <f t="shared" si="1"/>
        <v>4651.2</v>
      </c>
      <c r="M9" s="267">
        <f t="shared" si="1"/>
        <v>0</v>
      </c>
      <c r="N9" s="267">
        <f t="shared" si="1"/>
        <v>143957.70000000001</v>
      </c>
      <c r="O9" s="267">
        <f t="shared" si="1"/>
        <v>24572.28566666667</v>
      </c>
      <c r="P9" s="267">
        <f t="shared" si="1"/>
        <v>0</v>
      </c>
      <c r="Q9" s="267">
        <f t="shared" si="1"/>
        <v>25</v>
      </c>
      <c r="R9" s="267">
        <f t="shared" si="1"/>
        <v>0</v>
      </c>
      <c r="S9" s="267">
        <f t="shared" si="1"/>
        <v>0</v>
      </c>
      <c r="T9" s="267">
        <f t="shared" si="1"/>
        <v>33639.585666666666</v>
      </c>
      <c r="U9" s="267">
        <f t="shared" si="1"/>
        <v>119360.41433333333</v>
      </c>
    </row>
    <row r="10" spans="1:25" ht="16.5" thickBot="1" x14ac:dyDescent="0.3"/>
    <row r="11" spans="1:25" ht="16.5" thickBot="1" x14ac:dyDescent="0.3">
      <c r="B11" s="400" t="s">
        <v>869</v>
      </c>
      <c r="C11" s="401"/>
      <c r="D11" s="401"/>
      <c r="E11" s="402"/>
      <c r="F11" s="94"/>
      <c r="G11" s="94"/>
      <c r="H11" s="94"/>
      <c r="I11" s="94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</row>
    <row r="12" spans="1:25" customFormat="1" ht="15" x14ac:dyDescent="0.25">
      <c r="J12" s="84">
        <f t="shared" ref="J12:T12" si="2">+J11-J9</f>
        <v>-153000</v>
      </c>
      <c r="K12" s="84">
        <f t="shared" si="2"/>
        <v>-4391.1000000000004</v>
      </c>
      <c r="L12" s="84">
        <f t="shared" si="2"/>
        <v>-4651.2</v>
      </c>
      <c r="M12" s="84">
        <f t="shared" si="2"/>
        <v>0</v>
      </c>
      <c r="N12" s="84"/>
      <c r="O12" s="84">
        <f t="shared" si="2"/>
        <v>-24572.28566666667</v>
      </c>
      <c r="P12" s="84">
        <f t="shared" si="2"/>
        <v>0</v>
      </c>
      <c r="Q12" s="84">
        <f t="shared" si="2"/>
        <v>-25</v>
      </c>
      <c r="R12" s="84"/>
      <c r="S12" s="84">
        <f t="shared" si="2"/>
        <v>0</v>
      </c>
      <c r="T12" s="84">
        <f t="shared" si="2"/>
        <v>-33639.585666666666</v>
      </c>
      <c r="U12" s="84">
        <f>+U11-U9</f>
        <v>-119360.41433333333</v>
      </c>
    </row>
    <row r="13" spans="1:25" customFormat="1" ht="15" x14ac:dyDescent="0.25">
      <c r="J13" s="83"/>
      <c r="M13" s="84"/>
    </row>
    <row r="14" spans="1:25" customFormat="1" ht="15" x14ac:dyDescent="0.25">
      <c r="J14" s="83"/>
      <c r="M14" s="84"/>
    </row>
    <row r="15" spans="1:25" customFormat="1" ht="15" x14ac:dyDescent="0.25">
      <c r="M15" s="84"/>
    </row>
    <row r="16" spans="1:25" customFormat="1" ht="15" x14ac:dyDescent="0.25">
      <c r="M16" s="84"/>
      <c r="O16" s="84"/>
    </row>
    <row r="17" spans="13:13" customFormat="1" ht="15" x14ac:dyDescent="0.25">
      <c r="M17" s="84"/>
    </row>
    <row r="18" spans="13:13" customFormat="1" ht="15" x14ac:dyDescent="0.25"/>
    <row r="19" spans="13:13" customFormat="1" ht="15" x14ac:dyDescent="0.25"/>
    <row r="20" spans="13:13" customFormat="1" ht="15" x14ac:dyDescent="0.25"/>
    <row r="21" spans="13:13" customFormat="1" ht="15" x14ac:dyDescent="0.25"/>
    <row r="22" spans="13:13" customFormat="1" ht="15" x14ac:dyDescent="0.25"/>
    <row r="23" spans="13:13" customFormat="1" ht="15" x14ac:dyDescent="0.25"/>
    <row r="24" spans="13:13" customFormat="1" ht="15" x14ac:dyDescent="0.25"/>
    <row r="25" spans="13:13" customFormat="1" ht="15" x14ac:dyDescent="0.25"/>
    <row r="26" spans="13:13" customFormat="1" ht="15" x14ac:dyDescent="0.25"/>
    <row r="27" spans="13:13" customFormat="1" ht="15" x14ac:dyDescent="0.25"/>
    <row r="28" spans="13:13" customFormat="1" ht="15" x14ac:dyDescent="0.25"/>
    <row r="29" spans="13:13" customFormat="1" ht="15" x14ac:dyDescent="0.25"/>
    <row r="30" spans="13:13" customFormat="1" ht="15" x14ac:dyDescent="0.25"/>
    <row r="31" spans="13:13" customFormat="1" ht="15" x14ac:dyDescent="0.25"/>
    <row r="32" spans="13:13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</sheetData>
  <mergeCells count="4">
    <mergeCell ref="B3:U3"/>
    <mergeCell ref="B4:U4"/>
    <mergeCell ref="B9:E9"/>
    <mergeCell ref="B11:E11"/>
  </mergeCells>
  <pageMargins left="0.70866141732283505" right="0.70866141732283505" top="0.74803149606299202" bottom="0.74803149606299202" header="0.31496062992126" footer="0.31496062992126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7:M45"/>
  <sheetViews>
    <sheetView showGridLines="0" topLeftCell="A26" zoomScale="73" zoomScaleNormal="73" zoomScaleSheetLayoutView="100" workbookViewId="0">
      <selection activeCell="F49" sqref="F49"/>
    </sheetView>
  </sheetViews>
  <sheetFormatPr baseColWidth="10" defaultColWidth="11.42578125" defaultRowHeight="15" x14ac:dyDescent="0.25"/>
  <cols>
    <col min="1" max="1" width="6.140625" style="123" customWidth="1"/>
    <col min="2" max="2" width="16.42578125" style="124" customWidth="1"/>
    <col min="3" max="3" width="29.28515625" style="125" customWidth="1"/>
    <col min="4" max="4" width="13.28515625" style="125" bestFit="1" customWidth="1"/>
    <col min="5" max="5" width="23" style="125" customWidth="1"/>
    <col min="6" max="6" width="29.28515625" style="125" customWidth="1"/>
    <col min="7" max="9" width="22" style="130" customWidth="1"/>
    <col min="10" max="10" width="23.140625" style="125" customWidth="1"/>
    <col min="11" max="11" width="14.7109375" style="116" customWidth="1"/>
    <col min="12" max="12" width="11.42578125" style="116"/>
    <col min="13" max="13" width="12.28515625" style="116" bestFit="1" customWidth="1"/>
    <col min="14" max="16384" width="11.42578125" style="116"/>
  </cols>
  <sheetData>
    <row r="7" spans="1:11" x14ac:dyDescent="0.25">
      <c r="G7" s="126"/>
      <c r="H7" s="126"/>
      <c r="I7" s="126"/>
    </row>
    <row r="8" spans="1:11" x14ac:dyDescent="0.25">
      <c r="G8" s="126"/>
      <c r="H8" s="126"/>
      <c r="I8" s="126"/>
    </row>
    <row r="9" spans="1:11" x14ac:dyDescent="0.25">
      <c r="A9" s="137" t="s">
        <v>1955</v>
      </c>
      <c r="B9" s="138"/>
      <c r="C9" s="138"/>
      <c r="D9" s="138"/>
      <c r="E9" s="138"/>
      <c r="F9" s="138"/>
      <c r="G9" s="138"/>
      <c r="H9" s="138"/>
      <c r="I9" s="138"/>
      <c r="J9" s="138"/>
      <c r="K9"/>
    </row>
    <row r="10" spans="1:11" x14ac:dyDescent="0.25">
      <c r="A10" s="116" t="s">
        <v>1299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1" s="118" customFormat="1" ht="30" x14ac:dyDescent="0.25">
      <c r="A11" s="97" t="s">
        <v>1166</v>
      </c>
      <c r="B11" s="97" t="s">
        <v>1167</v>
      </c>
      <c r="C11" s="97" t="s">
        <v>1168</v>
      </c>
      <c r="D11" s="97" t="s">
        <v>1169</v>
      </c>
      <c r="E11" s="97" t="s">
        <v>1197</v>
      </c>
      <c r="F11" s="97" t="s">
        <v>1170</v>
      </c>
      <c r="G11" s="97" t="s">
        <v>1171</v>
      </c>
      <c r="H11" s="117" t="s">
        <v>1190</v>
      </c>
      <c r="I11" s="117" t="s">
        <v>1172</v>
      </c>
      <c r="J11" s="117" t="s">
        <v>1173</v>
      </c>
      <c r="K11"/>
    </row>
    <row r="12" spans="1:11" x14ac:dyDescent="0.25">
      <c r="A12" s="119"/>
      <c r="B12" s="108"/>
      <c r="C12" s="181"/>
      <c r="D12" s="121"/>
      <c r="E12" s="121"/>
      <c r="F12" s="121"/>
      <c r="G12" s="273"/>
      <c r="H12" s="122"/>
      <c r="I12" s="122"/>
      <c r="J12" s="122"/>
      <c r="K12"/>
    </row>
    <row r="13" spans="1:11" customFormat="1" x14ac:dyDescent="0.25"/>
    <row r="14" spans="1:11" ht="15.75" x14ac:dyDescent="0.25">
      <c r="A14" s="127"/>
      <c r="D14" s="128"/>
      <c r="E14" s="128"/>
      <c r="G14" s="129"/>
      <c r="H14" s="129"/>
      <c r="I14" s="139"/>
      <c r="J14" s="139">
        <f>SUM(J12:J13)</f>
        <v>0</v>
      </c>
      <c r="K14"/>
    </row>
    <row r="15" spans="1:11" x14ac:dyDescent="0.25">
      <c r="A15" s="127"/>
      <c r="D15" s="128"/>
      <c r="E15" s="128"/>
      <c r="G15" s="129"/>
      <c r="H15" s="129"/>
      <c r="I15"/>
      <c r="J15"/>
      <c r="K15"/>
    </row>
    <row r="16" spans="1:11" x14ac:dyDescent="0.25">
      <c r="A16" s="127"/>
      <c r="C16" s="116"/>
      <c r="D16" s="116"/>
      <c r="E16" s="116"/>
      <c r="F16" s="116"/>
      <c r="G16" s="116"/>
      <c r="H16" s="116"/>
      <c r="I16" s="116"/>
      <c r="J16" s="116"/>
      <c r="K16"/>
    </row>
    <row r="17" spans="1:11" x14ac:dyDescent="0.25">
      <c r="A17" s="127"/>
      <c r="D17" s="128"/>
      <c r="E17" s="128"/>
      <c r="G17" s="129"/>
      <c r="H17" s="129"/>
      <c r="I17"/>
      <c r="J17"/>
      <c r="K17"/>
    </row>
    <row r="18" spans="1:11" x14ac:dyDescent="0.25">
      <c r="A18" s="127"/>
      <c r="D18" s="128"/>
      <c r="E18" s="128"/>
      <c r="G18" s="129"/>
      <c r="H18" s="129"/>
      <c r="I18"/>
      <c r="J18"/>
      <c r="K18"/>
    </row>
    <row r="19" spans="1:11" x14ac:dyDescent="0.25">
      <c r="A19" s="112" t="s">
        <v>1954</v>
      </c>
      <c r="B19" s="113"/>
      <c r="C19" s="114"/>
      <c r="D19" s="114"/>
      <c r="E19" s="114"/>
      <c r="F19" s="114"/>
      <c r="G19" s="114"/>
      <c r="H19" s="115"/>
      <c r="I19" s="115"/>
      <c r="J19"/>
      <c r="K19"/>
    </row>
    <row r="20" spans="1:11" x14ac:dyDescent="0.25">
      <c r="A20" s="116" t="s">
        <v>1299</v>
      </c>
      <c r="B20" s="116"/>
      <c r="C20" s="116"/>
      <c r="D20" s="116"/>
      <c r="E20" s="116"/>
      <c r="F20" s="116"/>
      <c r="G20" s="116"/>
      <c r="H20" s="116"/>
      <c r="I20" s="116"/>
      <c r="J20" s="116"/>
    </row>
    <row r="21" spans="1:11" ht="30" x14ac:dyDescent="0.25">
      <c r="A21" s="97" t="s">
        <v>1166</v>
      </c>
      <c r="B21" s="97" t="s">
        <v>1167</v>
      </c>
      <c r="C21" s="97" t="s">
        <v>1168</v>
      </c>
      <c r="D21" s="97" t="s">
        <v>1169</v>
      </c>
      <c r="E21" s="97" t="s">
        <v>1197</v>
      </c>
      <c r="F21" s="97" t="s">
        <v>1170</v>
      </c>
      <c r="G21" s="97" t="s">
        <v>1171</v>
      </c>
      <c r="H21" s="117" t="s">
        <v>1174</v>
      </c>
      <c r="I21" s="117" t="s">
        <v>1471</v>
      </c>
      <c r="J21" s="117" t="s">
        <v>1455</v>
      </c>
      <c r="K21"/>
    </row>
    <row r="22" spans="1:11" x14ac:dyDescent="0.25">
      <c r="A22" s="119"/>
      <c r="B22" s="108"/>
      <c r="C22" s="120"/>
      <c r="D22" s="121"/>
      <c r="E22" s="121"/>
      <c r="F22" s="121"/>
      <c r="G22" s="120"/>
      <c r="H22" s="132"/>
      <c r="I22" s="122"/>
      <c r="J22" s="256"/>
      <c r="K22"/>
    </row>
    <row r="23" spans="1:11" customFormat="1" x14ac:dyDescent="0.25"/>
    <row r="24" spans="1:11" customFormat="1" x14ac:dyDescent="0.25">
      <c r="I24" s="152">
        <f>SUM(I22:I23)</f>
        <v>0</v>
      </c>
    </row>
    <row r="25" spans="1:11" x14ac:dyDescent="0.25">
      <c r="A25" s="127"/>
      <c r="D25" s="128"/>
      <c r="E25" s="128"/>
      <c r="F25" s="128"/>
      <c r="G25" s="125"/>
      <c r="H25" s="129"/>
      <c r="I25" s="151"/>
      <c r="J25"/>
      <c r="K25"/>
    </row>
    <row r="26" spans="1:11" x14ac:dyDescent="0.25">
      <c r="A26" s="127"/>
      <c r="D26" s="128"/>
      <c r="E26" s="128"/>
      <c r="F26" s="128"/>
      <c r="G26" s="125"/>
      <c r="H26" s="129"/>
      <c r="I26" s="129"/>
      <c r="J26"/>
      <c r="K26"/>
    </row>
    <row r="27" spans="1:11" x14ac:dyDescent="0.25">
      <c r="A27" s="127"/>
      <c r="C27" s="407"/>
      <c r="D27" s="407"/>
      <c r="E27" s="128"/>
      <c r="F27" s="128"/>
      <c r="G27" s="125"/>
      <c r="H27" s="129"/>
      <c r="I27" s="129"/>
      <c r="J27" s="403"/>
      <c r="K27" s="403"/>
    </row>
    <row r="28" spans="1:11" x14ac:dyDescent="0.25">
      <c r="A28" s="127"/>
      <c r="C28" s="405" t="s">
        <v>1486</v>
      </c>
      <c r="D28" s="405"/>
      <c r="E28" s="128"/>
      <c r="F28" s="128"/>
      <c r="G28" s="404" t="s">
        <v>1227</v>
      </c>
      <c r="H28" s="404"/>
      <c r="I28" s="129"/>
      <c r="J28" s="116"/>
    </row>
    <row r="29" spans="1:11" x14ac:dyDescent="0.25">
      <c r="A29" s="127"/>
      <c r="C29" s="406" t="s">
        <v>1487</v>
      </c>
      <c r="D29" s="406"/>
      <c r="E29" s="128"/>
      <c r="F29" s="128"/>
      <c r="G29" s="403" t="s">
        <v>1225</v>
      </c>
      <c r="H29" s="403"/>
      <c r="I29" s="129"/>
      <c r="J29" s="116"/>
    </row>
    <row r="30" spans="1:11" x14ac:dyDescent="0.25">
      <c r="A30" s="127"/>
      <c r="C30" s="123"/>
      <c r="D30" s="123"/>
      <c r="E30" s="128"/>
      <c r="F30" s="128"/>
      <c r="G30" s="128"/>
      <c r="H30" s="128"/>
      <c r="I30" s="129"/>
      <c r="J30" s="116"/>
    </row>
    <row r="31" spans="1:11" x14ac:dyDescent="0.25">
      <c r="A31" s="127"/>
      <c r="C31" s="123"/>
      <c r="D31" s="123"/>
      <c r="E31" s="128"/>
      <c r="F31" s="128"/>
      <c r="G31" s="128"/>
      <c r="H31" s="128"/>
      <c r="I31" s="129"/>
      <c r="J31" s="116"/>
    </row>
    <row r="32" spans="1:11" x14ac:dyDescent="0.25">
      <c r="A32" s="127"/>
      <c r="D32" s="128"/>
      <c r="E32" s="128"/>
      <c r="G32" s="129"/>
      <c r="H32" s="129"/>
      <c r="I32"/>
      <c r="J32"/>
      <c r="K32"/>
    </row>
    <row r="33" spans="1:13" x14ac:dyDescent="0.25">
      <c r="A33" s="127"/>
      <c r="D33" s="128"/>
      <c r="E33" s="128"/>
      <c r="G33" s="129"/>
      <c r="H33" s="129"/>
      <c r="I33"/>
      <c r="J33"/>
      <c r="K33"/>
    </row>
    <row r="34" spans="1:13" x14ac:dyDescent="0.25">
      <c r="A34" s="127"/>
      <c r="D34" s="128"/>
      <c r="E34" s="128"/>
      <c r="G34" s="129"/>
      <c r="H34" s="129"/>
      <c r="I34"/>
      <c r="J34"/>
      <c r="K34"/>
    </row>
    <row r="35" spans="1:13" s="130" customFormat="1" ht="25.5" customHeight="1" x14ac:dyDescent="0.25">
      <c r="A35" s="123"/>
      <c r="B35" s="124"/>
      <c r="C35" s="125"/>
      <c r="D35" s="125"/>
      <c r="E35" s="125"/>
      <c r="F35" s="125"/>
      <c r="G35" s="126" t="s">
        <v>1837</v>
      </c>
      <c r="H35" s="126">
        <v>153000</v>
      </c>
      <c r="J35" s="125"/>
      <c r="K35" s="116"/>
      <c r="L35" s="116"/>
      <c r="M35" s="116"/>
    </row>
    <row r="37" spans="1:13" x14ac:dyDescent="0.25">
      <c r="H37" s="130">
        <f>+J14</f>
        <v>0</v>
      </c>
    </row>
    <row r="38" spans="1:13" x14ac:dyDescent="0.25">
      <c r="G38" s="130" t="s">
        <v>1199</v>
      </c>
    </row>
    <row r="39" spans="1:13" s="130" customFormat="1" ht="15.75" thickBot="1" x14ac:dyDescent="0.3">
      <c r="A39" s="123"/>
      <c r="B39" s="124"/>
      <c r="C39" s="125"/>
      <c r="D39" s="125"/>
      <c r="E39" s="125"/>
      <c r="F39" s="125"/>
      <c r="G39" s="130" t="s">
        <v>1230</v>
      </c>
      <c r="H39" s="153">
        <f>-I24</f>
        <v>0</v>
      </c>
      <c r="J39" s="125"/>
      <c r="K39" s="116"/>
      <c r="L39" s="116"/>
      <c r="M39" s="116"/>
    </row>
    <row r="40" spans="1:13" s="130" customFormat="1" ht="15.75" thickTop="1" x14ac:dyDescent="0.25">
      <c r="A40" s="123"/>
      <c r="B40" s="124"/>
      <c r="C40" s="125"/>
      <c r="D40" s="125"/>
      <c r="E40" s="125"/>
      <c r="F40" s="125"/>
      <c r="G40" s="130" t="s">
        <v>1198</v>
      </c>
      <c r="H40" s="130">
        <f>+H37-H39</f>
        <v>0</v>
      </c>
      <c r="J40" s="125"/>
      <c r="K40" s="116"/>
      <c r="L40" s="116"/>
      <c r="M40" s="116"/>
    </row>
    <row r="42" spans="1:13" ht="15.75" thickBot="1" x14ac:dyDescent="0.3">
      <c r="G42" s="126" t="s">
        <v>1951</v>
      </c>
      <c r="H42" s="229">
        <f>+'Nómina CAID Pensionados'!J9</f>
        <v>153000</v>
      </c>
    </row>
    <row r="43" spans="1:13" ht="15.75" thickTop="1" x14ac:dyDescent="0.25"/>
    <row r="44" spans="1:13" ht="15.75" thickBot="1" x14ac:dyDescent="0.3">
      <c r="H44" s="247"/>
    </row>
    <row r="45" spans="1:13" ht="15.75" thickTop="1" x14ac:dyDescent="0.25"/>
  </sheetData>
  <mergeCells count="6">
    <mergeCell ref="C27:D27"/>
    <mergeCell ref="J27:K27"/>
    <mergeCell ref="C28:D28"/>
    <mergeCell ref="G28:H28"/>
    <mergeCell ref="C29:D29"/>
    <mergeCell ref="G29:H29"/>
  </mergeCells>
  <printOptions horizontalCentered="1" verticalCentered="1"/>
  <pageMargins left="1.5" right="0.5" top="0.25" bottom="1.5" header="0" footer="0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Datos</vt:lpstr>
      <vt:lpstr>Nómina CAID Fija</vt:lpstr>
      <vt:lpstr>Novedades Fija</vt:lpstr>
      <vt:lpstr>Nómina Interinato</vt:lpstr>
      <vt:lpstr>Novedades Interinato</vt:lpstr>
      <vt:lpstr>Nómina Suplencia</vt:lpstr>
      <vt:lpstr>Novedades Suplencia</vt:lpstr>
      <vt:lpstr>Nómina CAID Temporal</vt:lpstr>
      <vt:lpstr>Novedades Temporal</vt:lpstr>
      <vt:lpstr>Nómina CAID Seguridad</vt:lpstr>
      <vt:lpstr>Novedades Seguridad</vt:lpstr>
      <vt:lpstr>Nómina CAID Eventual</vt:lpstr>
      <vt:lpstr>Novedades Eventual</vt:lpstr>
      <vt:lpstr>Nómina CAID Pensionados</vt:lpstr>
      <vt:lpstr>Novedades Pensionados</vt:lpstr>
      <vt:lpstr>Datos!Área_de_impresión</vt:lpstr>
      <vt:lpstr>'Novedades Eventual'!Área_de_impresión</vt:lpstr>
      <vt:lpstr>'Novedades Fija'!Área_de_impresión</vt:lpstr>
      <vt:lpstr>'Novedades Interinato'!Área_de_impresión</vt:lpstr>
      <vt:lpstr>'Novedades Pensionados'!Área_de_impresión</vt:lpstr>
      <vt:lpstr>'Novedades Seguridad'!Área_de_impresión</vt:lpstr>
      <vt:lpstr>'Novedades Suplencia'!Área_de_impresión</vt:lpstr>
      <vt:lpstr>'Novedades Temporal'!Área_de_impresión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m.aristy@caid.gob.do</dc:creator>
  <cp:lastModifiedBy>Yudiannel Ogando Rodriguez</cp:lastModifiedBy>
  <cp:lastPrinted>2024-10-09T14:51:36Z</cp:lastPrinted>
  <dcterms:created xsi:type="dcterms:W3CDTF">2018-01-18T15:07:10Z</dcterms:created>
  <dcterms:modified xsi:type="dcterms:W3CDTF">2025-01-24T16:17:59Z</dcterms:modified>
</cp:coreProperties>
</file>