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"/>
    </mc:Choice>
  </mc:AlternateContent>
  <xr:revisionPtr revIDLastSave="0" documentId="13_ncr:1_{36197D2D-89BB-498C-9D65-3C6D566176FC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Datos" sheetId="19" r:id="rId1"/>
    <sheet name="Nomina Fijos" sheetId="17" r:id="rId2"/>
    <sheet name="Temporal Cargos de Carrera" sheetId="12" r:id="rId3"/>
    <sheet name="Nomina Personal Vigilancia" sheetId="11" r:id="rId4"/>
    <sheet name="Nómina Personal Eventual" sheetId="14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Fijos'!$C$1:$C$703</definedName>
    <definedName name="_xlnm._FilterDatabase" localSheetId="4" hidden="1">'Nómina Personal Eventual'!$A$20:$Q$72</definedName>
    <definedName name="_xlnm._FilterDatabase" localSheetId="3" hidden="1">'Nomina Personal Vigilancia'!$A$9:$N$114</definedName>
    <definedName name="_xlnm._FilterDatabase" localSheetId="5" hidden="1">'Nomina Tramite de Pensión'!$A$9:$O$13</definedName>
    <definedName name="_xlnm._FilterDatabase" localSheetId="2" hidden="1">'Temporal Cargos de Carrera'!$O$2:$O$278</definedName>
    <definedName name="_xlnm.Print_Area" localSheetId="0">Datos!$B$5:$H$10</definedName>
    <definedName name="_xlnm.Print_Area" localSheetId="1">'Nomina Fijos'!$A$1:$N$634</definedName>
    <definedName name="_xlnm.Print_Area" localSheetId="4">'Nómina Personal Eventual'!$A$11:$Q$80</definedName>
    <definedName name="_xlnm.Print_Area" localSheetId="3">'Nomina Personal Vigilancia'!$A$1:$N$122</definedName>
    <definedName name="_xlnm.Print_Area" localSheetId="5">'Nomina Tramite de Pensión'!$A$1:$O$21</definedName>
    <definedName name="_xlnm.Print_Area" localSheetId="2">'Temporal Cargos de Carrera'!$A$2:$Q$276</definedName>
    <definedName name="_xlnm.Print_Titles" localSheetId="1">'Nomina Fijos'!$1:$9</definedName>
    <definedName name="_xlnm.Print_Titles" localSheetId="4">'Nómina Personal Eventual'!$10:$20</definedName>
    <definedName name="_xlnm.Print_Titles" localSheetId="3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7" l="1"/>
  <c r="J34" i="17"/>
  <c r="I34" i="17"/>
  <c r="L164" i="17"/>
  <c r="J164" i="17"/>
  <c r="I164" i="17"/>
  <c r="L160" i="17"/>
  <c r="J160" i="17"/>
  <c r="I160" i="17"/>
  <c r="L162" i="17"/>
  <c r="J162" i="17"/>
  <c r="I162" i="17"/>
  <c r="L161" i="17"/>
  <c r="J161" i="17"/>
  <c r="I161" i="17"/>
  <c r="L163" i="17"/>
  <c r="J163" i="17"/>
  <c r="I163" i="17"/>
  <c r="L159" i="17"/>
  <c r="J159" i="17"/>
  <c r="I159" i="17"/>
  <c r="L165" i="17"/>
  <c r="J165" i="17"/>
  <c r="I165" i="17"/>
  <c r="M46" i="11"/>
  <c r="N46" i="11" s="1"/>
  <c r="H46" i="11"/>
  <c r="J266" i="12"/>
  <c r="K266" i="12"/>
  <c r="L266" i="12"/>
  <c r="M266" i="12"/>
  <c r="N266" i="12"/>
  <c r="O266" i="12"/>
  <c r="P266" i="12"/>
  <c r="Q266" i="12"/>
  <c r="J168" i="12"/>
  <c r="O168" i="12"/>
  <c r="I168" i="12"/>
  <c r="N167" i="12"/>
  <c r="L167" i="12"/>
  <c r="K167" i="12"/>
  <c r="N166" i="12"/>
  <c r="L166" i="12"/>
  <c r="K166" i="12"/>
  <c r="N165" i="12"/>
  <c r="N168" i="12" s="1"/>
  <c r="L165" i="12"/>
  <c r="L168" i="12" s="1"/>
  <c r="K165" i="12"/>
  <c r="K168" i="12" s="1"/>
  <c r="L383" i="17"/>
  <c r="J383" i="17"/>
  <c r="I383" i="17"/>
  <c r="L384" i="17"/>
  <c r="J384" i="17"/>
  <c r="I384" i="17"/>
  <c r="L382" i="17"/>
  <c r="J382" i="17"/>
  <c r="I382" i="17"/>
  <c r="L381" i="17"/>
  <c r="J381" i="17"/>
  <c r="I381" i="17"/>
  <c r="L526" i="17"/>
  <c r="J526" i="17"/>
  <c r="I526" i="17"/>
  <c r="L525" i="17"/>
  <c r="J525" i="17"/>
  <c r="I525" i="17"/>
  <c r="L499" i="17"/>
  <c r="J499" i="17"/>
  <c r="I499" i="17"/>
  <c r="L498" i="17"/>
  <c r="J498" i="17"/>
  <c r="I498" i="17"/>
  <c r="K34" i="17" l="1"/>
  <c r="N34" i="17" s="1"/>
  <c r="O34" i="17" s="1"/>
  <c r="K164" i="17"/>
  <c r="N164" i="17" s="1"/>
  <c r="O164" i="17" s="1"/>
  <c r="K160" i="17"/>
  <c r="N160" i="17" s="1"/>
  <c r="O160" i="17" s="1"/>
  <c r="K162" i="17"/>
  <c r="N162" i="17" s="1"/>
  <c r="O162" i="17" s="1"/>
  <c r="K161" i="17"/>
  <c r="N161" i="17" s="1"/>
  <c r="O161" i="17" s="1"/>
  <c r="K163" i="17"/>
  <c r="N163" i="17" s="1"/>
  <c r="O163" i="17" s="1"/>
  <c r="N165" i="17"/>
  <c r="O165" i="17" s="1"/>
  <c r="K159" i="17"/>
  <c r="N159" i="17" s="1"/>
  <c r="O159" i="17" s="1"/>
  <c r="M167" i="12"/>
  <c r="P167" i="12" s="1"/>
  <c r="Q167" i="12" s="1"/>
  <c r="M166" i="12"/>
  <c r="P166" i="12" s="1"/>
  <c r="Q166" i="12" s="1"/>
  <c r="M165" i="12"/>
  <c r="K383" i="17"/>
  <c r="N383" i="17" s="1"/>
  <c r="O383" i="17" s="1"/>
  <c r="K384" i="17"/>
  <c r="N384" i="17" s="1"/>
  <c r="O384" i="17" s="1"/>
  <c r="K382" i="17"/>
  <c r="N382" i="17" s="1"/>
  <c r="O382" i="17" s="1"/>
  <c r="K381" i="17"/>
  <c r="N381" i="17" s="1"/>
  <c r="O381" i="17" s="1"/>
  <c r="K526" i="17"/>
  <c r="N526" i="17" s="1"/>
  <c r="O526" i="17" s="1"/>
  <c r="K525" i="17"/>
  <c r="N525" i="17" s="1"/>
  <c r="O525" i="17" s="1"/>
  <c r="K499" i="17"/>
  <c r="N499" i="17" s="1"/>
  <c r="O499" i="17" s="1"/>
  <c r="K498" i="17"/>
  <c r="N498" i="17" s="1"/>
  <c r="O498" i="17" s="1"/>
  <c r="L342" i="17"/>
  <c r="J342" i="17"/>
  <c r="I342" i="17"/>
  <c r="H14" i="17"/>
  <c r="M14" i="17"/>
  <c r="G14" i="17"/>
  <c r="L261" i="17"/>
  <c r="J261" i="17"/>
  <c r="I261" i="17"/>
  <c r="P165" i="12" l="1"/>
  <c r="M168" i="12"/>
  <c r="K342" i="17"/>
  <c r="N342" i="17" s="1"/>
  <c r="O342" i="17" s="1"/>
  <c r="K261" i="17"/>
  <c r="N261" i="17" s="1"/>
  <c r="O261" i="17" s="1"/>
  <c r="K620" i="17"/>
  <c r="G620" i="17"/>
  <c r="G591" i="17"/>
  <c r="G535" i="17"/>
  <c r="G373" i="17"/>
  <c r="G370" i="17"/>
  <c r="G366" i="17"/>
  <c r="K352" i="17"/>
  <c r="G352" i="17"/>
  <c r="G308" i="17"/>
  <c r="G293" i="17"/>
  <c r="G458" i="17"/>
  <c r="G479" i="17"/>
  <c r="G476" i="17"/>
  <c r="G408" i="17"/>
  <c r="Q165" i="12" l="1"/>
  <c r="Q168" i="12" s="1"/>
  <c r="P168" i="12"/>
  <c r="I212" i="17"/>
  <c r="J212" i="17"/>
  <c r="L212" i="17"/>
  <c r="L254" i="17"/>
  <c r="J254" i="17"/>
  <c r="I254" i="17"/>
  <c r="M294" i="17"/>
  <c r="H294" i="17"/>
  <c r="G294" i="17"/>
  <c r="L293" i="17"/>
  <c r="L294" i="17" s="1"/>
  <c r="J293" i="17"/>
  <c r="I293" i="17"/>
  <c r="I294" i="17" s="1"/>
  <c r="I608" i="17"/>
  <c r="J608" i="17"/>
  <c r="L608" i="17"/>
  <c r="I609" i="17"/>
  <c r="J609" i="17"/>
  <c r="L609" i="17"/>
  <c r="I610" i="17"/>
  <c r="J610" i="17"/>
  <c r="L610" i="17"/>
  <c r="I611" i="17"/>
  <c r="J611" i="17"/>
  <c r="L611" i="17"/>
  <c r="I612" i="17"/>
  <c r="J612" i="17"/>
  <c r="L612" i="17"/>
  <c r="I613" i="17"/>
  <c r="J613" i="17"/>
  <c r="L613" i="17"/>
  <c r="I614" i="17"/>
  <c r="J614" i="17"/>
  <c r="L614" i="17"/>
  <c r="I590" i="17"/>
  <c r="J590" i="17"/>
  <c r="L590" i="17"/>
  <c r="I591" i="17"/>
  <c r="J591" i="17"/>
  <c r="L591" i="17"/>
  <c r="I592" i="17"/>
  <c r="J592" i="17"/>
  <c r="L592" i="17"/>
  <c r="I593" i="17"/>
  <c r="J593" i="17"/>
  <c r="L593" i="17"/>
  <c r="I495" i="17"/>
  <c r="J495" i="17"/>
  <c r="L495" i="17"/>
  <c r="I496" i="17"/>
  <c r="J496" i="17"/>
  <c r="L496" i="17"/>
  <c r="J409" i="17"/>
  <c r="L409" i="17"/>
  <c r="J410" i="17"/>
  <c r="L410" i="17"/>
  <c r="J411" i="17"/>
  <c r="L411" i="17"/>
  <c r="J412" i="17"/>
  <c r="L412" i="17"/>
  <c r="J413" i="17"/>
  <c r="L413" i="17"/>
  <c r="J414" i="17"/>
  <c r="L414" i="17"/>
  <c r="J415" i="17"/>
  <c r="L415" i="17"/>
  <c r="J416" i="17"/>
  <c r="L416" i="17"/>
  <c r="J417" i="17"/>
  <c r="L417" i="17"/>
  <c r="J418" i="17"/>
  <c r="L418" i="17"/>
  <c r="J419" i="17"/>
  <c r="L419" i="17"/>
  <c r="J420" i="17"/>
  <c r="L420" i="17"/>
  <c r="J421" i="17"/>
  <c r="L421" i="17"/>
  <c r="J422" i="17"/>
  <c r="L422" i="17"/>
  <c r="J423" i="17"/>
  <c r="L423" i="17"/>
  <c r="J424" i="17"/>
  <c r="L424" i="17"/>
  <c r="J425" i="17"/>
  <c r="L425" i="17"/>
  <c r="I424" i="17"/>
  <c r="I403" i="17"/>
  <c r="J403" i="17"/>
  <c r="L403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4" i="17"/>
  <c r="I405" i="17"/>
  <c r="J405" i="17"/>
  <c r="L405" i="17"/>
  <c r="I373" i="17"/>
  <c r="J373" i="17"/>
  <c r="L373" i="17"/>
  <c r="I352" i="17"/>
  <c r="L304" i="17"/>
  <c r="J304" i="17"/>
  <c r="I304" i="17"/>
  <c r="L302" i="17"/>
  <c r="J302" i="17"/>
  <c r="I302" i="17"/>
  <c r="L301" i="17"/>
  <c r="J301" i="17"/>
  <c r="I301" i="17"/>
  <c r="L307" i="17"/>
  <c r="J307" i="17"/>
  <c r="I307" i="17"/>
  <c r="I308" i="17"/>
  <c r="J308" i="17"/>
  <c r="L308" i="17"/>
  <c r="L309" i="17"/>
  <c r="J309" i="17"/>
  <c r="I309" i="17"/>
  <c r="L306" i="17"/>
  <c r="J306" i="17"/>
  <c r="I306" i="17"/>
  <c r="L305" i="17"/>
  <c r="J305" i="17"/>
  <c r="I305" i="17"/>
  <c r="L303" i="17"/>
  <c r="J303" i="17"/>
  <c r="I303" i="17"/>
  <c r="L300" i="17"/>
  <c r="J300" i="17"/>
  <c r="I300" i="17"/>
  <c r="L299" i="17"/>
  <c r="J299" i="17"/>
  <c r="I299" i="17"/>
  <c r="I297" i="17"/>
  <c r="J297" i="17"/>
  <c r="L297" i="17"/>
  <c r="I298" i="17"/>
  <c r="J298" i="17"/>
  <c r="L298" i="17"/>
  <c r="I211" i="17"/>
  <c r="J211" i="17"/>
  <c r="L211" i="17"/>
  <c r="I174" i="17"/>
  <c r="J174" i="17"/>
  <c r="L174" i="17"/>
  <c r="I175" i="17"/>
  <c r="J175" i="17"/>
  <c r="L175" i="17"/>
  <c r="H167" i="17"/>
  <c r="M167" i="17"/>
  <c r="G167" i="17"/>
  <c r="I166" i="17"/>
  <c r="J166" i="17"/>
  <c r="L166" i="17"/>
  <c r="L146" i="17"/>
  <c r="J146" i="17"/>
  <c r="I146" i="17"/>
  <c r="L148" i="17"/>
  <c r="J148" i="17"/>
  <c r="I148" i="17"/>
  <c r="L149" i="17"/>
  <c r="J149" i="17"/>
  <c r="I149" i="17"/>
  <c r="L151" i="17"/>
  <c r="J151" i="17"/>
  <c r="I151" i="17"/>
  <c r="L152" i="17"/>
  <c r="J152" i="17"/>
  <c r="I152" i="17"/>
  <c r="I153" i="17"/>
  <c r="J153" i="17"/>
  <c r="L153" i="17"/>
  <c r="L154" i="17"/>
  <c r="J154" i="17"/>
  <c r="I154" i="17"/>
  <c r="L143" i="17"/>
  <c r="J143" i="17"/>
  <c r="I143" i="17"/>
  <c r="L142" i="17"/>
  <c r="J142" i="17"/>
  <c r="I142" i="17"/>
  <c r="L141" i="17"/>
  <c r="J141" i="17"/>
  <c r="I141" i="17"/>
  <c r="L140" i="17"/>
  <c r="J140" i="17"/>
  <c r="I140" i="17"/>
  <c r="L139" i="17"/>
  <c r="J139" i="17"/>
  <c r="I139" i="17"/>
  <c r="L138" i="17"/>
  <c r="J138" i="17"/>
  <c r="I138" i="17"/>
  <c r="L137" i="17"/>
  <c r="J137" i="17"/>
  <c r="I137" i="17"/>
  <c r="L136" i="17"/>
  <c r="J136" i="17"/>
  <c r="I136" i="17"/>
  <c r="L135" i="17"/>
  <c r="J135" i="17"/>
  <c r="I135" i="17"/>
  <c r="L134" i="17"/>
  <c r="J134" i="17"/>
  <c r="I134" i="17"/>
  <c r="L133" i="17"/>
  <c r="J133" i="17"/>
  <c r="I133" i="17"/>
  <c r="L132" i="17"/>
  <c r="J132" i="17"/>
  <c r="I132" i="17"/>
  <c r="L131" i="17"/>
  <c r="J131" i="17"/>
  <c r="I131" i="17"/>
  <c r="L130" i="17"/>
  <c r="J130" i="17"/>
  <c r="I130" i="17"/>
  <c r="L129" i="17"/>
  <c r="J129" i="17"/>
  <c r="I129" i="17"/>
  <c r="L128" i="17"/>
  <c r="J128" i="17"/>
  <c r="I128" i="17"/>
  <c r="L127" i="17"/>
  <c r="J127" i="17"/>
  <c r="I127" i="17"/>
  <c r="L125" i="17"/>
  <c r="J125" i="17"/>
  <c r="I125" i="17"/>
  <c r="L124" i="17"/>
  <c r="J124" i="17"/>
  <c r="I124" i="17"/>
  <c r="L123" i="17"/>
  <c r="J123" i="17"/>
  <c r="I123" i="17"/>
  <c r="L122" i="17"/>
  <c r="J122" i="17"/>
  <c r="I122" i="17"/>
  <c r="L121" i="17"/>
  <c r="J121" i="17"/>
  <c r="I121" i="17"/>
  <c r="L120" i="17"/>
  <c r="J120" i="17"/>
  <c r="I120" i="17"/>
  <c r="L119" i="17"/>
  <c r="J119" i="17"/>
  <c r="I119" i="17"/>
  <c r="L118" i="17"/>
  <c r="J118" i="17"/>
  <c r="I118" i="17"/>
  <c r="L117" i="17"/>
  <c r="J117" i="17"/>
  <c r="I117" i="17"/>
  <c r="L116" i="17"/>
  <c r="J116" i="17"/>
  <c r="I116" i="17"/>
  <c r="L115" i="17"/>
  <c r="J115" i="17"/>
  <c r="I115" i="17"/>
  <c r="I114" i="17"/>
  <c r="J114" i="17"/>
  <c r="L114" i="17"/>
  <c r="L113" i="17"/>
  <c r="J113" i="17"/>
  <c r="I113" i="17"/>
  <c r="L112" i="17"/>
  <c r="J112" i="17"/>
  <c r="I112" i="17"/>
  <c r="L111" i="17"/>
  <c r="J111" i="17"/>
  <c r="I111" i="17"/>
  <c r="L110" i="17"/>
  <c r="J110" i="17"/>
  <c r="I110" i="17"/>
  <c r="I95" i="17"/>
  <c r="J95" i="17"/>
  <c r="L95" i="17"/>
  <c r="I96" i="17"/>
  <c r="J96" i="17"/>
  <c r="L96" i="17"/>
  <c r="I97" i="17"/>
  <c r="J97" i="17"/>
  <c r="L97" i="17"/>
  <c r="I98" i="17"/>
  <c r="J98" i="17"/>
  <c r="L98" i="17"/>
  <c r="I99" i="17"/>
  <c r="J99" i="17"/>
  <c r="L99" i="17"/>
  <c r="I100" i="17"/>
  <c r="J100" i="17"/>
  <c r="L100" i="17"/>
  <c r="I101" i="17"/>
  <c r="J101" i="17"/>
  <c r="L101" i="17"/>
  <c r="I102" i="17"/>
  <c r="J102" i="17"/>
  <c r="L102" i="17"/>
  <c r="L109" i="17"/>
  <c r="J109" i="17"/>
  <c r="I109" i="17"/>
  <c r="L108" i="17"/>
  <c r="J108" i="17"/>
  <c r="I108" i="17"/>
  <c r="L107" i="17"/>
  <c r="J107" i="17"/>
  <c r="I107" i="17"/>
  <c r="L106" i="17"/>
  <c r="J106" i="17"/>
  <c r="I106" i="17"/>
  <c r="L105" i="17"/>
  <c r="J105" i="17"/>
  <c r="I105" i="17"/>
  <c r="L104" i="17"/>
  <c r="J104" i="17"/>
  <c r="I104" i="17"/>
  <c r="L103" i="17"/>
  <c r="J103" i="17"/>
  <c r="I103" i="17"/>
  <c r="L150" i="17"/>
  <c r="J150" i="17"/>
  <c r="I150" i="17"/>
  <c r="L147" i="17"/>
  <c r="J147" i="17"/>
  <c r="I147" i="17"/>
  <c r="I61" i="17"/>
  <c r="J61" i="17"/>
  <c r="L61" i="17"/>
  <c r="L50" i="17"/>
  <c r="L51" i="17"/>
  <c r="L52" i="17"/>
  <c r="L53" i="17"/>
  <c r="L54" i="17"/>
  <c r="J50" i="17"/>
  <c r="J51" i="17"/>
  <c r="J52" i="17"/>
  <c r="J53" i="17"/>
  <c r="J54" i="17"/>
  <c r="G56" i="17"/>
  <c r="I49" i="17"/>
  <c r="J49" i="17"/>
  <c r="L49" i="17"/>
  <c r="J24" i="17"/>
  <c r="L24" i="17"/>
  <c r="I24" i="17"/>
  <c r="H96" i="11"/>
  <c r="M96" i="11"/>
  <c r="N96" i="11" s="1"/>
  <c r="H97" i="11"/>
  <c r="M97" i="11"/>
  <c r="N97" i="11"/>
  <c r="H98" i="11"/>
  <c r="M98" i="11"/>
  <c r="N98" i="11" s="1"/>
  <c r="H99" i="11"/>
  <c r="M99" i="11"/>
  <c r="N99" i="11"/>
  <c r="N23" i="11"/>
  <c r="H12" i="11"/>
  <c r="H13" i="11"/>
  <c r="H14" i="11"/>
  <c r="H15" i="11"/>
  <c r="N15" i="11" s="1"/>
  <c r="H16" i="11"/>
  <c r="N16" i="11" s="1"/>
  <c r="H17" i="11"/>
  <c r="N17" i="11" s="1"/>
  <c r="H18" i="11"/>
  <c r="N18" i="11" s="1"/>
  <c r="H19" i="11"/>
  <c r="N19" i="11" s="1"/>
  <c r="H20" i="11"/>
  <c r="N20" i="11" s="1"/>
  <c r="H21" i="11"/>
  <c r="N21" i="11" s="1"/>
  <c r="H22" i="11"/>
  <c r="N22" i="11" s="1"/>
  <c r="H23" i="11"/>
  <c r="H24" i="11"/>
  <c r="N24" i="11" s="1"/>
  <c r="H25" i="11"/>
  <c r="H26" i="11"/>
  <c r="H27" i="11"/>
  <c r="H28" i="11"/>
  <c r="H29" i="11"/>
  <c r="H30" i="11"/>
  <c r="H31" i="11"/>
  <c r="H32" i="11"/>
  <c r="J41" i="12"/>
  <c r="O41" i="12"/>
  <c r="I41" i="12"/>
  <c r="I21" i="12"/>
  <c r="N212" i="17" l="1"/>
  <c r="O212" i="17" s="1"/>
  <c r="K613" i="17"/>
  <c r="N613" i="17" s="1"/>
  <c r="O613" i="17" s="1"/>
  <c r="K293" i="17"/>
  <c r="K294" i="17" s="1"/>
  <c r="K254" i="17"/>
  <c r="N254" i="17" s="1"/>
  <c r="O254" i="17" s="1"/>
  <c r="K611" i="17"/>
  <c r="N611" i="17" s="1"/>
  <c r="O611" i="17" s="1"/>
  <c r="K419" i="17"/>
  <c r="K614" i="17"/>
  <c r="N614" i="17" s="1"/>
  <c r="O614" i="17" s="1"/>
  <c r="K610" i="17"/>
  <c r="N610" i="17" s="1"/>
  <c r="O610" i="17" s="1"/>
  <c r="K608" i="17"/>
  <c r="N608" i="17" s="1"/>
  <c r="O608" i="17" s="1"/>
  <c r="K591" i="17"/>
  <c r="N591" i="17" s="1"/>
  <c r="O591" i="17" s="1"/>
  <c r="K593" i="17"/>
  <c r="N593" i="17" s="1"/>
  <c r="O593" i="17" s="1"/>
  <c r="J294" i="17"/>
  <c r="K495" i="17"/>
  <c r="N495" i="17" s="1"/>
  <c r="O495" i="17" s="1"/>
  <c r="K592" i="17"/>
  <c r="N592" i="17" s="1"/>
  <c r="O592" i="17" s="1"/>
  <c r="K590" i="17"/>
  <c r="N590" i="17" s="1"/>
  <c r="O590" i="17" s="1"/>
  <c r="K420" i="17"/>
  <c r="K414" i="17"/>
  <c r="K612" i="17"/>
  <c r="N612" i="17" s="1"/>
  <c r="O612" i="17" s="1"/>
  <c r="N609" i="17"/>
  <c r="O609" i="17" s="1"/>
  <c r="K496" i="17"/>
  <c r="N496" i="17" s="1"/>
  <c r="O496" i="17" s="1"/>
  <c r="K422" i="17"/>
  <c r="K416" i="17"/>
  <c r="K410" i="17"/>
  <c r="K403" i="17"/>
  <c r="N403" i="17" s="1"/>
  <c r="O403" i="17" s="1"/>
  <c r="K421" i="17"/>
  <c r="K409" i="17"/>
  <c r="K418" i="17"/>
  <c r="K417" i="17"/>
  <c r="K415" i="17"/>
  <c r="N424" i="17"/>
  <c r="O424" i="17" s="1"/>
  <c r="K405" i="17"/>
  <c r="N405" i="17" s="1"/>
  <c r="O405" i="17" s="1"/>
  <c r="N302" i="17"/>
  <c r="O302" i="17" s="1"/>
  <c r="K297" i="17"/>
  <c r="N297" i="17" s="1"/>
  <c r="O297" i="17" s="1"/>
  <c r="K373" i="17"/>
  <c r="N373" i="17" s="1"/>
  <c r="O373" i="17" s="1"/>
  <c r="K298" i="17"/>
  <c r="N298" i="17" s="1"/>
  <c r="O298" i="17" s="1"/>
  <c r="K301" i="17"/>
  <c r="N301" i="17" s="1"/>
  <c r="O301" i="17" s="1"/>
  <c r="K304" i="17"/>
  <c r="N304" i="17" s="1"/>
  <c r="O304" i="17" s="1"/>
  <c r="K308" i="17"/>
  <c r="N308" i="17" s="1"/>
  <c r="O308" i="17" s="1"/>
  <c r="K307" i="17"/>
  <c r="N307" i="17" s="1"/>
  <c r="O307" i="17" s="1"/>
  <c r="K305" i="17"/>
  <c r="N305" i="17" s="1"/>
  <c r="O305" i="17" s="1"/>
  <c r="K175" i="17"/>
  <c r="N175" i="17" s="1"/>
  <c r="O175" i="17" s="1"/>
  <c r="K309" i="17"/>
  <c r="N309" i="17" s="1"/>
  <c r="O309" i="17" s="1"/>
  <c r="K306" i="17"/>
  <c r="N306" i="17" s="1"/>
  <c r="O306" i="17" s="1"/>
  <c r="K303" i="17"/>
  <c r="N303" i="17" s="1"/>
  <c r="O303" i="17" s="1"/>
  <c r="K300" i="17"/>
  <c r="N300" i="17" s="1"/>
  <c r="O300" i="17" s="1"/>
  <c r="K299" i="17"/>
  <c r="N299" i="17" s="1"/>
  <c r="O299" i="17" s="1"/>
  <c r="K166" i="17"/>
  <c r="N166" i="17" s="1"/>
  <c r="O166" i="17" s="1"/>
  <c r="K174" i="17"/>
  <c r="N174" i="17" s="1"/>
  <c r="O174" i="17" s="1"/>
  <c r="N211" i="17"/>
  <c r="O211" i="17" s="1"/>
  <c r="K146" i="17"/>
  <c r="N146" i="17" s="1"/>
  <c r="O146" i="17" s="1"/>
  <c r="K148" i="17"/>
  <c r="N148" i="17" s="1"/>
  <c r="O148" i="17" s="1"/>
  <c r="K149" i="17"/>
  <c r="N149" i="17" s="1"/>
  <c r="O149" i="17" s="1"/>
  <c r="K151" i="17"/>
  <c r="N151" i="17" s="1"/>
  <c r="O151" i="17" s="1"/>
  <c r="K152" i="17"/>
  <c r="N152" i="17" s="1"/>
  <c r="O152" i="17" s="1"/>
  <c r="K153" i="17"/>
  <c r="N153" i="17" s="1"/>
  <c r="O153" i="17" s="1"/>
  <c r="K154" i="17"/>
  <c r="N154" i="17" s="1"/>
  <c r="O154" i="17" s="1"/>
  <c r="K137" i="17"/>
  <c r="N137" i="17" s="1"/>
  <c r="O137" i="17" s="1"/>
  <c r="K143" i="17"/>
  <c r="N143" i="17" s="1"/>
  <c r="O143" i="17" s="1"/>
  <c r="K142" i="17"/>
  <c r="N142" i="17" s="1"/>
  <c r="O142" i="17" s="1"/>
  <c r="K141" i="17"/>
  <c r="N141" i="17" s="1"/>
  <c r="O141" i="17" s="1"/>
  <c r="K140" i="17"/>
  <c r="N140" i="17" s="1"/>
  <c r="O140" i="17" s="1"/>
  <c r="K139" i="17"/>
  <c r="N139" i="17" s="1"/>
  <c r="O139" i="17" s="1"/>
  <c r="K138" i="17"/>
  <c r="N138" i="17" s="1"/>
  <c r="O138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29" i="17"/>
  <c r="N129" i="17" s="1"/>
  <c r="O129" i="17" s="1"/>
  <c r="K132" i="17"/>
  <c r="N132" i="17" s="1"/>
  <c r="O132" i="17" s="1"/>
  <c r="K100" i="17"/>
  <c r="N100" i="17" s="1"/>
  <c r="O100" i="17" s="1"/>
  <c r="K128" i="17"/>
  <c r="N128" i="17" s="1"/>
  <c r="O128" i="17" s="1"/>
  <c r="K131" i="17"/>
  <c r="N131" i="17" s="1"/>
  <c r="O131" i="17" s="1"/>
  <c r="K130" i="17"/>
  <c r="N130" i="17" s="1"/>
  <c r="O130" i="17" s="1"/>
  <c r="K127" i="17"/>
  <c r="N127" i="17" s="1"/>
  <c r="O127" i="17" s="1"/>
  <c r="K125" i="17"/>
  <c r="N125" i="17" s="1"/>
  <c r="O125" i="17" s="1"/>
  <c r="K96" i="17"/>
  <c r="N96" i="17" s="1"/>
  <c r="O96" i="17" s="1"/>
  <c r="K124" i="17"/>
  <c r="N124" i="17" s="1"/>
  <c r="O124" i="17" s="1"/>
  <c r="K123" i="17"/>
  <c r="N123" i="17" s="1"/>
  <c r="O123" i="17" s="1"/>
  <c r="K122" i="17"/>
  <c r="N122" i="17" s="1"/>
  <c r="O122" i="17" s="1"/>
  <c r="K120" i="17"/>
  <c r="N120" i="17" s="1"/>
  <c r="O120" i="17" s="1"/>
  <c r="K121" i="17"/>
  <c r="N121" i="17" s="1"/>
  <c r="O121" i="17" s="1"/>
  <c r="K119" i="17"/>
  <c r="N119" i="17" s="1"/>
  <c r="O119" i="17" s="1"/>
  <c r="K118" i="17"/>
  <c r="N118" i="17" s="1"/>
  <c r="O118" i="17" s="1"/>
  <c r="K117" i="17"/>
  <c r="N117" i="17" s="1"/>
  <c r="O117" i="17" s="1"/>
  <c r="K116" i="17"/>
  <c r="N116" i="17" s="1"/>
  <c r="O116" i="17" s="1"/>
  <c r="K115" i="17"/>
  <c r="N115" i="17" s="1"/>
  <c r="O115" i="17" s="1"/>
  <c r="K114" i="17"/>
  <c r="N114" i="17" s="1"/>
  <c r="O114" i="17" s="1"/>
  <c r="K102" i="17"/>
  <c r="N102" i="17" s="1"/>
  <c r="O102" i="17" s="1"/>
  <c r="K98" i="17"/>
  <c r="N98" i="17" s="1"/>
  <c r="O98" i="17" s="1"/>
  <c r="K99" i="17"/>
  <c r="N99" i="17" s="1"/>
  <c r="O99" i="17" s="1"/>
  <c r="K113" i="17"/>
  <c r="N113" i="17" s="1"/>
  <c r="O113" i="17" s="1"/>
  <c r="K112" i="17"/>
  <c r="N112" i="17" s="1"/>
  <c r="O112" i="17" s="1"/>
  <c r="K95" i="17"/>
  <c r="N95" i="17" s="1"/>
  <c r="O95" i="17" s="1"/>
  <c r="K111" i="17"/>
  <c r="N111" i="17" s="1"/>
  <c r="O111" i="17" s="1"/>
  <c r="K110" i="17"/>
  <c r="N110" i="17" s="1"/>
  <c r="O110" i="17" s="1"/>
  <c r="K101" i="17"/>
  <c r="N101" i="17" s="1"/>
  <c r="O101" i="17" s="1"/>
  <c r="K97" i="17"/>
  <c r="N97" i="17" s="1"/>
  <c r="O97" i="17" s="1"/>
  <c r="K109" i="17"/>
  <c r="N109" i="17" s="1"/>
  <c r="O109" i="17" s="1"/>
  <c r="K108" i="17"/>
  <c r="N108" i="17" s="1"/>
  <c r="O108" i="17" s="1"/>
  <c r="K107" i="17"/>
  <c r="N107" i="17" s="1"/>
  <c r="O107" i="17" s="1"/>
  <c r="K106" i="17"/>
  <c r="N106" i="17" s="1"/>
  <c r="O106" i="17" s="1"/>
  <c r="K105" i="17"/>
  <c r="N105" i="17" s="1"/>
  <c r="O105" i="17" s="1"/>
  <c r="K104" i="17"/>
  <c r="N104" i="17" s="1"/>
  <c r="O104" i="17" s="1"/>
  <c r="K103" i="17"/>
  <c r="N103" i="17" s="1"/>
  <c r="O103" i="17" s="1"/>
  <c r="K150" i="17"/>
  <c r="N150" i="17" s="1"/>
  <c r="O150" i="17" s="1"/>
  <c r="K147" i="17"/>
  <c r="N147" i="17" s="1"/>
  <c r="O147" i="17" s="1"/>
  <c r="K49" i="17"/>
  <c r="N49" i="17" s="1"/>
  <c r="O49" i="17" s="1"/>
  <c r="K61" i="17"/>
  <c r="N61" i="17" s="1"/>
  <c r="O61" i="17" s="1"/>
  <c r="K24" i="17"/>
  <c r="N24" i="17" s="1"/>
  <c r="O24" i="17" s="1"/>
  <c r="N293" i="17" l="1"/>
  <c r="O293" i="17" s="1"/>
  <c r="O294" i="17" s="1"/>
  <c r="N294" i="17" l="1"/>
  <c r="O238" i="12"/>
  <c r="J238" i="12"/>
  <c r="I238" i="12"/>
  <c r="N237" i="12"/>
  <c r="N238" i="12" s="1"/>
  <c r="L237" i="12"/>
  <c r="K237" i="12"/>
  <c r="K238" i="12" s="1"/>
  <c r="K99" i="12"/>
  <c r="L99" i="12"/>
  <c r="N99" i="12"/>
  <c r="K70" i="12"/>
  <c r="L70" i="12"/>
  <c r="N70" i="12"/>
  <c r="O96" i="12"/>
  <c r="J96" i="12"/>
  <c r="I96" i="12"/>
  <c r="N95" i="12"/>
  <c r="N96" i="12" s="1"/>
  <c r="L95" i="12"/>
  <c r="M95" i="12" s="1"/>
  <c r="M96" i="12" s="1"/>
  <c r="K95" i="12"/>
  <c r="K96" i="12" s="1"/>
  <c r="N40" i="12"/>
  <c r="L40" i="12"/>
  <c r="K40" i="12"/>
  <c r="K19" i="12"/>
  <c r="L19" i="12"/>
  <c r="N19" i="12"/>
  <c r="I87" i="14"/>
  <c r="J58" i="14"/>
  <c r="K58" i="14"/>
  <c r="N58" i="14"/>
  <c r="O58" i="14"/>
  <c r="I58" i="14"/>
  <c r="K57" i="14"/>
  <c r="L57" i="14" s="1"/>
  <c r="N57" i="14"/>
  <c r="K37" i="14"/>
  <c r="L37" i="14" s="1"/>
  <c r="N37" i="14"/>
  <c r="J38" i="14"/>
  <c r="O38" i="14"/>
  <c r="I38" i="14"/>
  <c r="K52" i="14"/>
  <c r="K53" i="14"/>
  <c r="K54" i="14"/>
  <c r="L54" i="14" s="1"/>
  <c r="K55" i="14"/>
  <c r="L55" i="14" s="1"/>
  <c r="K56" i="14"/>
  <c r="L56" i="14" s="1"/>
  <c r="N56" i="14"/>
  <c r="J262" i="12"/>
  <c r="O262" i="12"/>
  <c r="I262" i="12"/>
  <c r="K261" i="12"/>
  <c r="L261" i="12"/>
  <c r="N261" i="12"/>
  <c r="O93" i="12"/>
  <c r="J93" i="12"/>
  <c r="I93" i="12"/>
  <c r="N92" i="12"/>
  <c r="L92" i="12"/>
  <c r="K92" i="12"/>
  <c r="M641" i="17"/>
  <c r="H627" i="17"/>
  <c r="M627" i="17"/>
  <c r="H598" i="17"/>
  <c r="M598" i="17"/>
  <c r="G598" i="17"/>
  <c r="I581" i="17"/>
  <c r="J581" i="17"/>
  <c r="L581" i="17"/>
  <c r="I582" i="17"/>
  <c r="J582" i="17"/>
  <c r="L582" i="17"/>
  <c r="I583" i="17"/>
  <c r="J583" i="17"/>
  <c r="L583" i="17"/>
  <c r="I584" i="17"/>
  <c r="J584" i="17"/>
  <c r="L584" i="17"/>
  <c r="I585" i="17"/>
  <c r="J585" i="17"/>
  <c r="L585" i="17"/>
  <c r="I586" i="17"/>
  <c r="J586" i="17"/>
  <c r="L586" i="17"/>
  <c r="I587" i="17"/>
  <c r="J587" i="17"/>
  <c r="L587" i="17"/>
  <c r="I588" i="17"/>
  <c r="J588" i="17"/>
  <c r="L588" i="17"/>
  <c r="I589" i="17"/>
  <c r="J589" i="17"/>
  <c r="L589" i="17"/>
  <c r="I594" i="17"/>
  <c r="J594" i="17"/>
  <c r="L594" i="17"/>
  <c r="I595" i="17"/>
  <c r="J595" i="17"/>
  <c r="L595" i="17"/>
  <c r="I596" i="17"/>
  <c r="J596" i="17"/>
  <c r="L596" i="17"/>
  <c r="I597" i="17"/>
  <c r="J597" i="17"/>
  <c r="L597" i="17"/>
  <c r="L580" i="17"/>
  <c r="J580" i="17"/>
  <c r="I580" i="17"/>
  <c r="H530" i="17"/>
  <c r="M530" i="17"/>
  <c r="G530" i="17"/>
  <c r="I523" i="17"/>
  <c r="J523" i="17"/>
  <c r="L523" i="17"/>
  <c r="I524" i="17"/>
  <c r="J524" i="17"/>
  <c r="L524" i="17"/>
  <c r="I527" i="17"/>
  <c r="J527" i="17"/>
  <c r="L527" i="17"/>
  <c r="I528" i="17"/>
  <c r="J528" i="17"/>
  <c r="L528" i="17"/>
  <c r="I529" i="17"/>
  <c r="J529" i="17"/>
  <c r="L529" i="17"/>
  <c r="H501" i="17"/>
  <c r="M501" i="17"/>
  <c r="G501" i="17"/>
  <c r="I482" i="17"/>
  <c r="J482" i="17"/>
  <c r="L482" i="17"/>
  <c r="I483" i="17"/>
  <c r="J483" i="17"/>
  <c r="L483" i="17"/>
  <c r="I484" i="17"/>
  <c r="J484" i="17"/>
  <c r="L484" i="17"/>
  <c r="I485" i="17"/>
  <c r="J485" i="17"/>
  <c r="L485" i="17"/>
  <c r="I486" i="17"/>
  <c r="J486" i="17"/>
  <c r="L486" i="17"/>
  <c r="I487" i="17"/>
  <c r="J487" i="17"/>
  <c r="L487" i="17"/>
  <c r="I488" i="17"/>
  <c r="J488" i="17"/>
  <c r="L488" i="17"/>
  <c r="I489" i="17"/>
  <c r="J489" i="17"/>
  <c r="L489" i="17"/>
  <c r="I490" i="17"/>
  <c r="J490" i="17"/>
  <c r="L490" i="17"/>
  <c r="I491" i="17"/>
  <c r="J491" i="17"/>
  <c r="L491" i="17"/>
  <c r="I492" i="17"/>
  <c r="J492" i="17"/>
  <c r="L492" i="17"/>
  <c r="I493" i="17"/>
  <c r="J493" i="17"/>
  <c r="L493" i="17"/>
  <c r="I494" i="17"/>
  <c r="J494" i="17"/>
  <c r="L494" i="17"/>
  <c r="I497" i="17"/>
  <c r="J497" i="17"/>
  <c r="L497" i="17"/>
  <c r="I500" i="17"/>
  <c r="J500" i="17"/>
  <c r="L500" i="17"/>
  <c r="H406" i="17"/>
  <c r="M406" i="17"/>
  <c r="G406" i="17"/>
  <c r="H375" i="17"/>
  <c r="M375" i="17"/>
  <c r="G375" i="17"/>
  <c r="J374" i="17"/>
  <c r="L374" i="17"/>
  <c r="M234" i="17"/>
  <c r="H234" i="17"/>
  <c r="G234" i="17"/>
  <c r="L233" i="17"/>
  <c r="L234" i="17" s="1"/>
  <c r="J233" i="17"/>
  <c r="I233" i="17"/>
  <c r="I234" i="17" s="1"/>
  <c r="H641" i="17"/>
  <c r="J641" i="17"/>
  <c r="K641" i="17"/>
  <c r="L641" i="17"/>
  <c r="G641" i="17"/>
  <c r="H214" i="17"/>
  <c r="M214" i="17"/>
  <c r="G214" i="17"/>
  <c r="I208" i="17"/>
  <c r="J208" i="17"/>
  <c r="L208" i="17"/>
  <c r="I209" i="17"/>
  <c r="J209" i="17"/>
  <c r="L209" i="17"/>
  <c r="I210" i="17"/>
  <c r="J210" i="17"/>
  <c r="L210" i="17"/>
  <c r="I213" i="17"/>
  <c r="J213" i="17"/>
  <c r="L213" i="17"/>
  <c r="K527" i="17" l="1"/>
  <c r="N527" i="17" s="1"/>
  <c r="O527" i="17" s="1"/>
  <c r="K587" i="17"/>
  <c r="N587" i="17" s="1"/>
  <c r="O587" i="17" s="1"/>
  <c r="K596" i="17"/>
  <c r="N596" i="17" s="1"/>
  <c r="O596" i="17" s="1"/>
  <c r="K582" i="17"/>
  <c r="N582" i="17" s="1"/>
  <c r="O582" i="17" s="1"/>
  <c r="K597" i="17"/>
  <c r="K595" i="17"/>
  <c r="N595" i="17" s="1"/>
  <c r="O595" i="17" s="1"/>
  <c r="K588" i="17"/>
  <c r="N588" i="17" s="1"/>
  <c r="O588" i="17" s="1"/>
  <c r="K584" i="17"/>
  <c r="N584" i="17" s="1"/>
  <c r="O584" i="17" s="1"/>
  <c r="K581" i="17"/>
  <c r="N581" i="17" s="1"/>
  <c r="O581" i="17" s="1"/>
  <c r="K594" i="17"/>
  <c r="N594" i="17" s="1"/>
  <c r="O594" i="17" s="1"/>
  <c r="K585" i="17"/>
  <c r="N585" i="17" s="1"/>
  <c r="O585" i="17" s="1"/>
  <c r="K589" i="17"/>
  <c r="N589" i="17" s="1"/>
  <c r="O589" i="17" s="1"/>
  <c r="K583" i="17"/>
  <c r="N583" i="17" s="1"/>
  <c r="O583" i="17" s="1"/>
  <c r="K580" i="17"/>
  <c r="N580" i="17" s="1"/>
  <c r="O580" i="17" s="1"/>
  <c r="K488" i="17"/>
  <c r="N488" i="17" s="1"/>
  <c r="O488" i="17" s="1"/>
  <c r="K524" i="17"/>
  <c r="N524" i="17" s="1"/>
  <c r="O524" i="17" s="1"/>
  <c r="K484" i="17"/>
  <c r="N484" i="17" s="1"/>
  <c r="O484" i="17" s="1"/>
  <c r="K523" i="17"/>
  <c r="N523" i="17" s="1"/>
  <c r="O523" i="17" s="1"/>
  <c r="K492" i="17"/>
  <c r="N492" i="17" s="1"/>
  <c r="O492" i="17" s="1"/>
  <c r="K483" i="17"/>
  <c r="N483" i="17" s="1"/>
  <c r="O483" i="17" s="1"/>
  <c r="K482" i="17"/>
  <c r="N482" i="17" s="1"/>
  <c r="O482" i="17" s="1"/>
  <c r="K491" i="17"/>
  <c r="N491" i="17" s="1"/>
  <c r="O491" i="17" s="1"/>
  <c r="K493" i="17"/>
  <c r="N493" i="17" s="1"/>
  <c r="O493" i="17" s="1"/>
  <c r="K489" i="17"/>
  <c r="N489" i="17" s="1"/>
  <c r="O489" i="17" s="1"/>
  <c r="K485" i="17"/>
  <c r="N485" i="17" s="1"/>
  <c r="O485" i="17" s="1"/>
  <c r="K497" i="17"/>
  <c r="N497" i="17" s="1"/>
  <c r="O497" i="17" s="1"/>
  <c r="K486" i="17"/>
  <c r="N486" i="17" s="1"/>
  <c r="O486" i="17" s="1"/>
  <c r="K490" i="17"/>
  <c r="N490" i="17" s="1"/>
  <c r="O490" i="17" s="1"/>
  <c r="K487" i="17"/>
  <c r="N487" i="17" s="1"/>
  <c r="O487" i="17" s="1"/>
  <c r="K494" i="17"/>
  <c r="N494" i="17" s="1"/>
  <c r="O494" i="17" s="1"/>
  <c r="N213" i="17"/>
  <c r="O213" i="17" s="1"/>
  <c r="N528" i="17"/>
  <c r="O528" i="17" s="1"/>
  <c r="M237" i="12"/>
  <c r="M238" i="12" s="1"/>
  <c r="L238" i="12"/>
  <c r="M99" i="12"/>
  <c r="P99" i="12" s="1"/>
  <c r="Q99" i="12" s="1"/>
  <c r="M70" i="12"/>
  <c r="P70" i="12" s="1"/>
  <c r="Q70" i="12" s="1"/>
  <c r="P95" i="12"/>
  <c r="L96" i="12"/>
  <c r="P40" i="12"/>
  <c r="Q40" i="12" s="1"/>
  <c r="M19" i="12"/>
  <c r="P19" i="12" s="1"/>
  <c r="Q19" i="12" s="1"/>
  <c r="M57" i="14"/>
  <c r="P57" i="14" s="1"/>
  <c r="Q57" i="14" s="1"/>
  <c r="M37" i="14"/>
  <c r="P37" i="14"/>
  <c r="Q37" i="14" s="1"/>
  <c r="N597" i="17"/>
  <c r="O597" i="17" s="1"/>
  <c r="N586" i="17"/>
  <c r="O586" i="17" s="1"/>
  <c r="M56" i="14"/>
  <c r="P56" i="14" s="1"/>
  <c r="M261" i="12"/>
  <c r="P261" i="12" s="1"/>
  <c r="Q261" i="12" s="1"/>
  <c r="M92" i="12"/>
  <c r="K500" i="17"/>
  <c r="N500" i="17" s="1"/>
  <c r="O500" i="17" s="1"/>
  <c r="K529" i="17"/>
  <c r="N529" i="17" s="1"/>
  <c r="O529" i="17" s="1"/>
  <c r="N209" i="17"/>
  <c r="O209" i="17" s="1"/>
  <c r="K233" i="17"/>
  <c r="K234" i="17" s="1"/>
  <c r="K374" i="17"/>
  <c r="N374" i="17" s="1"/>
  <c r="O374" i="17" s="1"/>
  <c r="N208" i="17"/>
  <c r="O208" i="17" s="1"/>
  <c r="J234" i="17"/>
  <c r="N210" i="17"/>
  <c r="O210" i="17" s="1"/>
  <c r="N233" i="17" l="1"/>
  <c r="O233" i="17" s="1"/>
  <c r="O234" i="17" s="1"/>
  <c r="P237" i="12"/>
  <c r="P96" i="12"/>
  <c r="Q95" i="12"/>
  <c r="Q96" i="12" s="1"/>
  <c r="Q56" i="14"/>
  <c r="P92" i="12"/>
  <c r="Q92" i="12" s="1"/>
  <c r="M93" i="12"/>
  <c r="N234" i="17" l="1"/>
  <c r="P238" i="12"/>
  <c r="Q237" i="12"/>
  <c r="Q238" i="12" s="1"/>
  <c r="H63" i="11"/>
  <c r="M63" i="11"/>
  <c r="H64" i="11"/>
  <c r="M64" i="11"/>
  <c r="N63" i="11" l="1"/>
  <c r="N64" i="11"/>
  <c r="G33" i="11"/>
  <c r="I33" i="11"/>
  <c r="J33" i="11"/>
  <c r="K33" i="11"/>
  <c r="L33" i="11"/>
  <c r="F33" i="11"/>
  <c r="G283" i="17"/>
  <c r="J438" i="17"/>
  <c r="M46" i="17" l="1"/>
  <c r="H46" i="17"/>
  <c r="G46" i="17"/>
  <c r="L45" i="17"/>
  <c r="J45" i="17"/>
  <c r="I45" i="17"/>
  <c r="L44" i="17"/>
  <c r="J44" i="17"/>
  <c r="I44" i="17"/>
  <c r="O226" i="12"/>
  <c r="J226" i="12"/>
  <c r="I226" i="12"/>
  <c r="N225" i="12"/>
  <c r="N226" i="12" s="1"/>
  <c r="L225" i="12"/>
  <c r="K225" i="12"/>
  <c r="K226" i="12" s="1"/>
  <c r="M101" i="11"/>
  <c r="H111" i="11"/>
  <c r="N111" i="11" s="1"/>
  <c r="H112" i="11"/>
  <c r="N112" i="11" s="1"/>
  <c r="H52" i="11"/>
  <c r="M52" i="11"/>
  <c r="H53" i="11"/>
  <c r="M53" i="11"/>
  <c r="H54" i="11"/>
  <c r="M54" i="11"/>
  <c r="H55" i="11"/>
  <c r="M55" i="11"/>
  <c r="H56" i="11"/>
  <c r="M56" i="11"/>
  <c r="H57" i="11"/>
  <c r="M57" i="11"/>
  <c r="H58" i="11"/>
  <c r="M58" i="11"/>
  <c r="H59" i="11"/>
  <c r="M59" i="11"/>
  <c r="N59" i="11"/>
  <c r="H60" i="11"/>
  <c r="M60" i="11"/>
  <c r="H61" i="11"/>
  <c r="M61" i="11"/>
  <c r="H62" i="11"/>
  <c r="M62" i="11"/>
  <c r="H65" i="11"/>
  <c r="M65" i="11"/>
  <c r="M44" i="11"/>
  <c r="M45" i="11"/>
  <c r="M47" i="11"/>
  <c r="N47" i="11" s="1"/>
  <c r="H36" i="11"/>
  <c r="H37" i="11"/>
  <c r="H38" i="11"/>
  <c r="H39" i="11"/>
  <c r="H40" i="11"/>
  <c r="H41" i="11"/>
  <c r="H42" i="11"/>
  <c r="H43" i="11"/>
  <c r="H44" i="11"/>
  <c r="H45" i="11"/>
  <c r="H47" i="11"/>
  <c r="H48" i="11"/>
  <c r="H11" i="11"/>
  <c r="M30" i="11"/>
  <c r="M31" i="11"/>
  <c r="M32" i="11"/>
  <c r="N57" i="11" l="1"/>
  <c r="N45" i="11"/>
  <c r="M225" i="12"/>
  <c r="P225" i="12" s="1"/>
  <c r="N56" i="11"/>
  <c r="N61" i="11"/>
  <c r="N55" i="11"/>
  <c r="H33" i="11"/>
  <c r="N52" i="11"/>
  <c r="N31" i="11"/>
  <c r="N53" i="11"/>
  <c r="K45" i="17"/>
  <c r="N45" i="17" s="1"/>
  <c r="O45" i="17" s="1"/>
  <c r="K44" i="17"/>
  <c r="N44" i="17" s="1"/>
  <c r="O44" i="17" s="1"/>
  <c r="I46" i="17"/>
  <c r="J46" i="17"/>
  <c r="L46" i="17"/>
  <c r="L226" i="12"/>
  <c r="N60" i="11"/>
  <c r="N54" i="11"/>
  <c r="N62" i="11"/>
  <c r="N65" i="11"/>
  <c r="N32" i="11"/>
  <c r="N58" i="11"/>
  <c r="N44" i="11"/>
  <c r="N30" i="11"/>
  <c r="M226" i="12" l="1"/>
  <c r="K46" i="17"/>
  <c r="N46" i="17"/>
  <c r="O46" i="17"/>
  <c r="P226" i="12"/>
  <c r="Q225" i="12"/>
  <c r="Q226" i="12" s="1"/>
  <c r="O26" i="14" l="1"/>
  <c r="N26" i="14"/>
  <c r="M26" i="14"/>
  <c r="J26" i="14"/>
  <c r="I26" i="14"/>
  <c r="K25" i="14"/>
  <c r="K26" i="14" s="1"/>
  <c r="L25" i="14" l="1"/>
  <c r="P25" i="14" s="1"/>
  <c r="P26" i="14" s="1"/>
  <c r="O64" i="14"/>
  <c r="J64" i="14"/>
  <c r="I64" i="14"/>
  <c r="N63" i="14"/>
  <c r="N64" i="14" s="1"/>
  <c r="K63" i="14"/>
  <c r="K64" i="14" s="1"/>
  <c r="H91" i="11"/>
  <c r="M91" i="11"/>
  <c r="N91" i="11" s="1"/>
  <c r="H92" i="11"/>
  <c r="M92" i="11"/>
  <c r="N92" i="11" s="1"/>
  <c r="H93" i="11"/>
  <c r="M93" i="11"/>
  <c r="N93" i="11" s="1"/>
  <c r="H94" i="11"/>
  <c r="M94" i="11"/>
  <c r="N94" i="11" s="1"/>
  <c r="H95" i="11"/>
  <c r="M95" i="11"/>
  <c r="N95" i="11" s="1"/>
  <c r="Q25" i="14" l="1"/>
  <c r="Q26" i="14" s="1"/>
  <c r="L26" i="14"/>
  <c r="L63" i="14"/>
  <c r="M63" i="14" s="1"/>
  <c r="M64" i="14" s="1"/>
  <c r="L64" i="14" l="1"/>
  <c r="P63" i="14"/>
  <c r="P64" i="14" l="1"/>
  <c r="Q63" i="14"/>
  <c r="Q64" i="14" s="1"/>
  <c r="I545" i="17" l="1"/>
  <c r="J545" i="17"/>
  <c r="L545" i="17"/>
  <c r="K545" i="17" l="1"/>
  <c r="N545" i="17" s="1"/>
  <c r="O545" i="17" s="1"/>
  <c r="L353" i="17"/>
  <c r="L354" i="17"/>
  <c r="L355" i="17"/>
  <c r="L356" i="17"/>
  <c r="L357" i="17"/>
  <c r="J353" i="17"/>
  <c r="J354" i="17"/>
  <c r="J355" i="17"/>
  <c r="J356" i="17"/>
  <c r="J357" i="17"/>
  <c r="N641" i="17"/>
  <c r="I638" i="17"/>
  <c r="G615" i="17"/>
  <c r="L538" i="17"/>
  <c r="L539" i="17"/>
  <c r="L540" i="17"/>
  <c r="L541" i="17"/>
  <c r="L542" i="17"/>
  <c r="L543" i="17"/>
  <c r="L544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L578" i="17"/>
  <c r="I543" i="17"/>
  <c r="J543" i="17"/>
  <c r="I544" i="17"/>
  <c r="J544" i="17"/>
  <c r="J538" i="17"/>
  <c r="J539" i="17"/>
  <c r="J540" i="17"/>
  <c r="J541" i="17"/>
  <c r="J542" i="17"/>
  <c r="J546" i="17"/>
  <c r="J547" i="17"/>
  <c r="J548" i="17"/>
  <c r="J549" i="17"/>
  <c r="K549" i="17" s="1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K353" i="17" l="1"/>
  <c r="K548" i="17"/>
  <c r="K571" i="17"/>
  <c r="K559" i="17"/>
  <c r="K570" i="17"/>
  <c r="K558" i="17"/>
  <c r="K547" i="17"/>
  <c r="K546" i="17"/>
  <c r="K569" i="17"/>
  <c r="K557" i="17"/>
  <c r="K568" i="17"/>
  <c r="K566" i="17"/>
  <c r="K578" i="17"/>
  <c r="K564" i="17"/>
  <c r="K539" i="17"/>
  <c r="K556" i="17"/>
  <c r="K541" i="17"/>
  <c r="K565" i="17"/>
  <c r="K576" i="17"/>
  <c r="K552" i="17"/>
  <c r="K542" i="17"/>
  <c r="K555" i="17"/>
  <c r="K554" i="17"/>
  <c r="K575" i="17"/>
  <c r="K573" i="17"/>
  <c r="K561" i="17"/>
  <c r="K551" i="17"/>
  <c r="K544" i="17"/>
  <c r="N544" i="17" s="1"/>
  <c r="O544" i="17" s="1"/>
  <c r="K567" i="17"/>
  <c r="K540" i="17"/>
  <c r="K563" i="17"/>
  <c r="K562" i="17"/>
  <c r="K572" i="17"/>
  <c r="K560" i="17"/>
  <c r="K550" i="17"/>
  <c r="K543" i="17"/>
  <c r="N543" i="17" s="1"/>
  <c r="O543" i="17" s="1"/>
  <c r="I641" i="17"/>
  <c r="J598" i="17"/>
  <c r="O641" i="17"/>
  <c r="K355" i="17"/>
  <c r="N355" i="17" s="1"/>
  <c r="K356" i="17"/>
  <c r="M536" i="17" l="1"/>
  <c r="H536" i="17"/>
  <c r="G536" i="17"/>
  <c r="L535" i="17"/>
  <c r="J535" i="17"/>
  <c r="I535" i="17"/>
  <c r="I536" i="17" s="1"/>
  <c r="J536" i="17" l="1"/>
  <c r="K535" i="17"/>
  <c r="K536" i="17" s="1"/>
  <c r="L536" i="17"/>
  <c r="H77" i="11"/>
  <c r="M77" i="11"/>
  <c r="N77" i="11" s="1"/>
  <c r="H78" i="11"/>
  <c r="M78" i="11"/>
  <c r="N78" i="11" s="1"/>
  <c r="H79" i="11"/>
  <c r="M79" i="11"/>
  <c r="N79" i="11" s="1"/>
  <c r="H80" i="11"/>
  <c r="M80" i="11"/>
  <c r="N80" i="11" s="1"/>
  <c r="H81" i="11"/>
  <c r="M81" i="11"/>
  <c r="N81" i="11" s="1"/>
  <c r="H82" i="11"/>
  <c r="M82" i="11"/>
  <c r="N82" i="11" s="1"/>
  <c r="H83" i="11"/>
  <c r="M83" i="11"/>
  <c r="N83" i="11" s="1"/>
  <c r="N535" i="17" l="1"/>
  <c r="L518" i="17"/>
  <c r="I522" i="17"/>
  <c r="J391" i="17"/>
  <c r="L391" i="17"/>
  <c r="I242" i="17"/>
  <c r="J242" i="17"/>
  <c r="L242" i="17"/>
  <c r="I222" i="17"/>
  <c r="J222" i="17"/>
  <c r="L22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I190" i="17"/>
  <c r="L190" i="17"/>
  <c r="I171" i="17"/>
  <c r="J171" i="17"/>
  <c r="L171" i="17"/>
  <c r="I172" i="17"/>
  <c r="J172" i="17"/>
  <c r="L172" i="17"/>
  <c r="I173" i="17"/>
  <c r="J173" i="17"/>
  <c r="L173" i="17"/>
  <c r="L177" i="17"/>
  <c r="J177" i="17"/>
  <c r="I177" i="17"/>
  <c r="L158" i="17"/>
  <c r="L167" i="17" s="1"/>
  <c r="J158" i="17"/>
  <c r="J167" i="17" s="1"/>
  <c r="I158" i="17"/>
  <c r="I167" i="17" s="1"/>
  <c r="H156" i="17"/>
  <c r="M156" i="17"/>
  <c r="G156" i="17"/>
  <c r="L68" i="17"/>
  <c r="J68" i="17"/>
  <c r="I68" i="17"/>
  <c r="I60" i="17"/>
  <c r="J60" i="17"/>
  <c r="L60" i="17"/>
  <c r="L62" i="17"/>
  <c r="J62" i="17"/>
  <c r="I62" i="17"/>
  <c r="I52" i="17"/>
  <c r="I53" i="17"/>
  <c r="I54" i="17"/>
  <c r="K51" i="17"/>
  <c r="N51" i="17" s="1"/>
  <c r="O51" i="17" s="1"/>
  <c r="I51" i="17"/>
  <c r="K50" i="17"/>
  <c r="N50" i="17" s="1"/>
  <c r="O50" i="17" s="1"/>
  <c r="I50" i="17"/>
  <c r="H42" i="17"/>
  <c r="M42" i="17"/>
  <c r="G42" i="17"/>
  <c r="L39" i="17"/>
  <c r="J39" i="17"/>
  <c r="I39" i="17"/>
  <c r="I32" i="17"/>
  <c r="J32" i="17"/>
  <c r="L32" i="17"/>
  <c r="H29" i="17"/>
  <c r="M29" i="17"/>
  <c r="G29" i="17"/>
  <c r="L26" i="17"/>
  <c r="J26" i="17"/>
  <c r="I26" i="17"/>
  <c r="I27" i="17"/>
  <c r="J27" i="17"/>
  <c r="L27" i="17"/>
  <c r="L25" i="17"/>
  <c r="J25" i="17"/>
  <c r="I25" i="17"/>
  <c r="L23" i="17"/>
  <c r="J23" i="17"/>
  <c r="I23" i="17"/>
  <c r="J76" i="12"/>
  <c r="O76" i="12"/>
  <c r="I76" i="12"/>
  <c r="K246" i="12"/>
  <c r="L246" i="12"/>
  <c r="N246" i="12"/>
  <c r="K247" i="12"/>
  <c r="L247" i="12"/>
  <c r="N247" i="12"/>
  <c r="K248" i="12"/>
  <c r="L248" i="12"/>
  <c r="N248" i="12"/>
  <c r="K249" i="12"/>
  <c r="L249" i="12"/>
  <c r="N249" i="12"/>
  <c r="K250" i="12"/>
  <c r="L250" i="12"/>
  <c r="N250" i="12"/>
  <c r="K251" i="12"/>
  <c r="L251" i="12"/>
  <c r="N251" i="12"/>
  <c r="K252" i="12"/>
  <c r="L252" i="12"/>
  <c r="N252" i="12"/>
  <c r="K253" i="12"/>
  <c r="L253" i="12"/>
  <c r="N253" i="12"/>
  <c r="K254" i="12"/>
  <c r="L254" i="12"/>
  <c r="N254" i="12"/>
  <c r="K255" i="12"/>
  <c r="L255" i="12"/>
  <c r="N255" i="12"/>
  <c r="K256" i="12"/>
  <c r="L256" i="12"/>
  <c r="N256" i="12"/>
  <c r="K257" i="12"/>
  <c r="L257" i="12"/>
  <c r="N257" i="12"/>
  <c r="K258" i="12"/>
  <c r="L258" i="12"/>
  <c r="N258" i="12"/>
  <c r="K259" i="12"/>
  <c r="L259" i="12"/>
  <c r="N259" i="12"/>
  <c r="N245" i="12"/>
  <c r="L245" i="12"/>
  <c r="K245" i="12"/>
  <c r="J235" i="12"/>
  <c r="O235" i="12"/>
  <c r="I235" i="12"/>
  <c r="K234" i="12"/>
  <c r="L234" i="12"/>
  <c r="N234" i="12"/>
  <c r="J223" i="12"/>
  <c r="O223" i="12"/>
  <c r="I223" i="12"/>
  <c r="K202" i="12"/>
  <c r="L202" i="12"/>
  <c r="N202" i="12"/>
  <c r="K203" i="12"/>
  <c r="L203" i="12"/>
  <c r="N203" i="12"/>
  <c r="K204" i="12"/>
  <c r="L204" i="12"/>
  <c r="N204" i="12"/>
  <c r="K205" i="12"/>
  <c r="L205" i="12"/>
  <c r="N205" i="12"/>
  <c r="K206" i="12"/>
  <c r="L206" i="12"/>
  <c r="N206" i="12"/>
  <c r="K207" i="12"/>
  <c r="L207" i="12"/>
  <c r="N207" i="12"/>
  <c r="K208" i="12"/>
  <c r="L208" i="12"/>
  <c r="N208" i="12"/>
  <c r="K209" i="12"/>
  <c r="L209" i="12"/>
  <c r="N209" i="12"/>
  <c r="K210" i="12"/>
  <c r="L210" i="12"/>
  <c r="N210" i="12"/>
  <c r="K211" i="12"/>
  <c r="L211" i="12"/>
  <c r="N211" i="12"/>
  <c r="K212" i="12"/>
  <c r="L212" i="12"/>
  <c r="N212" i="12"/>
  <c r="K213" i="12"/>
  <c r="L213" i="12"/>
  <c r="N213" i="12"/>
  <c r="K214" i="12"/>
  <c r="L214" i="12"/>
  <c r="N214" i="12"/>
  <c r="K215" i="12"/>
  <c r="L215" i="12"/>
  <c r="N215" i="12"/>
  <c r="K216" i="12"/>
  <c r="L216" i="12"/>
  <c r="N216" i="12"/>
  <c r="K217" i="12"/>
  <c r="L217" i="12"/>
  <c r="N217" i="12"/>
  <c r="K218" i="12"/>
  <c r="L218" i="12"/>
  <c r="N218" i="12"/>
  <c r="K219" i="12"/>
  <c r="L219" i="12"/>
  <c r="N219" i="12"/>
  <c r="K220" i="12"/>
  <c r="L220" i="12"/>
  <c r="N220" i="12"/>
  <c r="K221" i="12"/>
  <c r="L221" i="12"/>
  <c r="N221" i="12"/>
  <c r="K222" i="12"/>
  <c r="L222" i="12"/>
  <c r="N222" i="12"/>
  <c r="K200" i="12"/>
  <c r="L200" i="12"/>
  <c r="N200" i="12"/>
  <c r="K201" i="12"/>
  <c r="L201" i="12"/>
  <c r="N201" i="12"/>
  <c r="J174" i="12"/>
  <c r="O174" i="12"/>
  <c r="I174" i="12"/>
  <c r="K170" i="12"/>
  <c r="L170" i="12"/>
  <c r="N170" i="12"/>
  <c r="K171" i="12"/>
  <c r="L171" i="12"/>
  <c r="N171" i="12"/>
  <c r="K172" i="12"/>
  <c r="L172" i="12"/>
  <c r="N172" i="12"/>
  <c r="N173" i="12"/>
  <c r="L173" i="12"/>
  <c r="K173" i="12"/>
  <c r="J151" i="12"/>
  <c r="O151" i="12"/>
  <c r="I151" i="12"/>
  <c r="K149" i="12"/>
  <c r="L149" i="12"/>
  <c r="N149" i="12"/>
  <c r="K150" i="12"/>
  <c r="L150" i="12"/>
  <c r="N150" i="12"/>
  <c r="O137" i="12"/>
  <c r="J137" i="12"/>
  <c r="I137" i="12"/>
  <c r="N136" i="12"/>
  <c r="N137" i="12" s="1"/>
  <c r="L136" i="12"/>
  <c r="K136" i="12"/>
  <c r="K137" i="12" s="1"/>
  <c r="O122" i="12"/>
  <c r="I122" i="12"/>
  <c r="N120" i="12"/>
  <c r="L120" i="12"/>
  <c r="K120" i="12"/>
  <c r="J118" i="12"/>
  <c r="O118" i="12"/>
  <c r="I118" i="12"/>
  <c r="K116" i="12"/>
  <c r="L116" i="12"/>
  <c r="N116" i="12"/>
  <c r="J108" i="12"/>
  <c r="O108" i="12"/>
  <c r="I108" i="12"/>
  <c r="I103" i="12"/>
  <c r="N107" i="12"/>
  <c r="L107" i="12"/>
  <c r="K107" i="12"/>
  <c r="N101" i="12"/>
  <c r="L101" i="12"/>
  <c r="K101" i="12"/>
  <c r="K74" i="12"/>
  <c r="L74" i="12"/>
  <c r="N74" i="12"/>
  <c r="K75" i="12"/>
  <c r="L75" i="12"/>
  <c r="N75" i="12"/>
  <c r="N69" i="12"/>
  <c r="L69" i="12"/>
  <c r="K69" i="12"/>
  <c r="K64" i="12"/>
  <c r="L64" i="12"/>
  <c r="N64" i="12"/>
  <c r="N56" i="12"/>
  <c r="L56" i="12"/>
  <c r="K56" i="12"/>
  <c r="K50" i="12"/>
  <c r="L50" i="12"/>
  <c r="N50" i="12"/>
  <c r="N49" i="12"/>
  <c r="L49" i="12"/>
  <c r="K49" i="12"/>
  <c r="N51" i="12"/>
  <c r="L51" i="12"/>
  <c r="K51" i="12"/>
  <c r="N45" i="12"/>
  <c r="L45" i="12"/>
  <c r="K45" i="12"/>
  <c r="N44" i="12"/>
  <c r="L44" i="12"/>
  <c r="K44" i="12"/>
  <c r="J31" i="12"/>
  <c r="O31" i="12"/>
  <c r="I31" i="12"/>
  <c r="N30" i="12"/>
  <c r="L30" i="12"/>
  <c r="K30" i="12"/>
  <c r="O34" i="12"/>
  <c r="J34" i="12"/>
  <c r="I34" i="12"/>
  <c r="N33" i="12"/>
  <c r="N34" i="12" s="1"/>
  <c r="L33" i="12"/>
  <c r="K33" i="12"/>
  <c r="K34" i="12" s="1"/>
  <c r="J71" i="14"/>
  <c r="O71" i="14"/>
  <c r="I71" i="14"/>
  <c r="O50" i="14"/>
  <c r="J50" i="14"/>
  <c r="I50" i="14"/>
  <c r="N49" i="14"/>
  <c r="N50" i="14" s="1"/>
  <c r="K49" i="14"/>
  <c r="K50" i="14" s="1"/>
  <c r="K32" i="17" l="1"/>
  <c r="N32" i="17" s="1"/>
  <c r="O32" i="17" s="1"/>
  <c r="K391" i="17"/>
  <c r="N391" i="17" s="1"/>
  <c r="O391" i="17" s="1"/>
  <c r="M257" i="12"/>
  <c r="P257" i="12" s="1"/>
  <c r="Q257" i="12" s="1"/>
  <c r="M253" i="12"/>
  <c r="P253" i="12" s="1"/>
  <c r="Q253" i="12" s="1"/>
  <c r="M249" i="12"/>
  <c r="P249" i="12" s="1"/>
  <c r="Q249" i="12" s="1"/>
  <c r="M221" i="12"/>
  <c r="P221" i="12" s="1"/>
  <c r="M217" i="12"/>
  <c r="P217" i="12" s="1"/>
  <c r="Q217" i="12" s="1"/>
  <c r="M213" i="12"/>
  <c r="P213" i="12" s="1"/>
  <c r="Q213" i="12" s="1"/>
  <c r="M209" i="12"/>
  <c r="P209" i="12" s="1"/>
  <c r="Q209" i="12" s="1"/>
  <c r="M205" i="12"/>
  <c r="P205" i="12" s="1"/>
  <c r="Q205" i="12" s="1"/>
  <c r="J214" i="17"/>
  <c r="M258" i="12"/>
  <c r="P258" i="12" s="1"/>
  <c r="Q258" i="12" s="1"/>
  <c r="M254" i="12"/>
  <c r="P254" i="12" s="1"/>
  <c r="Q254" i="12" s="1"/>
  <c r="M250" i="12"/>
  <c r="P250" i="12" s="1"/>
  <c r="Q250" i="12" s="1"/>
  <c r="M246" i="12"/>
  <c r="P246" i="12" s="1"/>
  <c r="Q246" i="12" s="1"/>
  <c r="M201" i="12"/>
  <c r="P201" i="12" s="1"/>
  <c r="Q201" i="12" s="1"/>
  <c r="M259" i="12"/>
  <c r="P259" i="12" s="1"/>
  <c r="Q259" i="12" s="1"/>
  <c r="M255" i="12"/>
  <c r="P255" i="12" s="1"/>
  <c r="Q255" i="12" s="1"/>
  <c r="M251" i="12"/>
  <c r="P251" i="12" s="1"/>
  <c r="Q251" i="12" s="1"/>
  <c r="M247" i="12"/>
  <c r="P247" i="12" s="1"/>
  <c r="Q247" i="12" s="1"/>
  <c r="K39" i="17"/>
  <c r="N39" i="17" s="1"/>
  <c r="M248" i="12"/>
  <c r="P248" i="12" s="1"/>
  <c r="Q248" i="12" s="1"/>
  <c r="M256" i="12"/>
  <c r="P256" i="12" s="1"/>
  <c r="Q256" i="12" s="1"/>
  <c r="M252" i="12"/>
  <c r="P252" i="12" s="1"/>
  <c r="Q252" i="12" s="1"/>
  <c r="N536" i="17"/>
  <c r="O535" i="17"/>
  <c r="O536" i="17" s="1"/>
  <c r="K222" i="17"/>
  <c r="N222" i="17" s="1"/>
  <c r="O222" i="17" s="1"/>
  <c r="K242" i="17"/>
  <c r="N242" i="17" s="1"/>
  <c r="O242" i="17" s="1"/>
  <c r="K190" i="17"/>
  <c r="N190" i="17" s="1"/>
  <c r="O190" i="17" s="1"/>
  <c r="K172" i="17"/>
  <c r="N172" i="17" s="1"/>
  <c r="O172" i="17" s="1"/>
  <c r="K173" i="17"/>
  <c r="N173" i="17" s="1"/>
  <c r="O173" i="17" s="1"/>
  <c r="K171" i="17"/>
  <c r="N171" i="17" s="1"/>
  <c r="O171" i="17" s="1"/>
  <c r="K177" i="17"/>
  <c r="N177" i="17" s="1"/>
  <c r="O177" i="17" s="1"/>
  <c r="K158" i="17"/>
  <c r="K167" i="17" s="1"/>
  <c r="K68" i="17"/>
  <c r="N68" i="17" s="1"/>
  <c r="O68" i="17" s="1"/>
  <c r="K60" i="17"/>
  <c r="N60" i="17" s="1"/>
  <c r="O60" i="17" s="1"/>
  <c r="K62" i="17"/>
  <c r="N62" i="17" s="1"/>
  <c r="O62" i="17" s="1"/>
  <c r="K52" i="17"/>
  <c r="N52" i="17" s="1"/>
  <c r="O52" i="17" s="1"/>
  <c r="K53" i="17"/>
  <c r="N53" i="17" s="1"/>
  <c r="O53" i="17" s="1"/>
  <c r="K54" i="17"/>
  <c r="N54" i="17" s="1"/>
  <c r="O54" i="17" s="1"/>
  <c r="K27" i="17"/>
  <c r="N27" i="17" s="1"/>
  <c r="O27" i="17" s="1"/>
  <c r="K26" i="17"/>
  <c r="N26" i="17" s="1"/>
  <c r="O26" i="17" s="1"/>
  <c r="K25" i="17"/>
  <c r="N25" i="17" s="1"/>
  <c r="O25" i="17" s="1"/>
  <c r="K23" i="17"/>
  <c r="Q221" i="12"/>
  <c r="M245" i="12"/>
  <c r="P245" i="12" s="1"/>
  <c r="Q245" i="12" s="1"/>
  <c r="M234" i="12"/>
  <c r="P234" i="12" s="1"/>
  <c r="Q234" i="12" s="1"/>
  <c r="M171" i="12"/>
  <c r="P171" i="12" s="1"/>
  <c r="Q171" i="12" s="1"/>
  <c r="M219" i="12"/>
  <c r="P219" i="12" s="1"/>
  <c r="Q219" i="12" s="1"/>
  <c r="M215" i="12"/>
  <c r="P215" i="12" s="1"/>
  <c r="Q215" i="12" s="1"/>
  <c r="M211" i="12"/>
  <c r="P211" i="12" s="1"/>
  <c r="Q211" i="12" s="1"/>
  <c r="M207" i="12"/>
  <c r="P207" i="12" s="1"/>
  <c r="Q207" i="12" s="1"/>
  <c r="M203" i="12"/>
  <c r="P203" i="12" s="1"/>
  <c r="Q203" i="12" s="1"/>
  <c r="M222" i="12"/>
  <c r="P222" i="12" s="1"/>
  <c r="Q222" i="12" s="1"/>
  <c r="M202" i="12"/>
  <c r="P202" i="12" s="1"/>
  <c r="Q202" i="12" s="1"/>
  <c r="P220" i="12"/>
  <c r="Q220" i="12" s="1"/>
  <c r="M208" i="12"/>
  <c r="P208" i="12" s="1"/>
  <c r="Q208" i="12" s="1"/>
  <c r="M214" i="12"/>
  <c r="P214" i="12" s="1"/>
  <c r="Q214" i="12" s="1"/>
  <c r="M216" i="12"/>
  <c r="P216" i="12" s="1"/>
  <c r="Q216" i="12" s="1"/>
  <c r="M206" i="12"/>
  <c r="P206" i="12" s="1"/>
  <c r="Q206" i="12" s="1"/>
  <c r="M204" i="12"/>
  <c r="P204" i="12" s="1"/>
  <c r="Q204" i="12" s="1"/>
  <c r="M218" i="12"/>
  <c r="P218" i="12" s="1"/>
  <c r="Q218" i="12" s="1"/>
  <c r="M210" i="12"/>
  <c r="P210" i="12" s="1"/>
  <c r="Q210" i="12" s="1"/>
  <c r="M212" i="12"/>
  <c r="P212" i="12" s="1"/>
  <c r="Q212" i="12" s="1"/>
  <c r="M136" i="12"/>
  <c r="M137" i="12" s="1"/>
  <c r="P200" i="12"/>
  <c r="Q200" i="12" s="1"/>
  <c r="M172" i="12"/>
  <c r="P172" i="12" s="1"/>
  <c r="Q172" i="12" s="1"/>
  <c r="K174" i="12"/>
  <c r="N174" i="12"/>
  <c r="M170" i="12"/>
  <c r="L174" i="12"/>
  <c r="M173" i="12"/>
  <c r="M149" i="12"/>
  <c r="P149" i="12" s="1"/>
  <c r="Q149" i="12" s="1"/>
  <c r="M150" i="12"/>
  <c r="P150" i="12" s="1"/>
  <c r="Q150" i="12" s="1"/>
  <c r="L137" i="12"/>
  <c r="P120" i="12"/>
  <c r="Q120" i="12" s="1"/>
  <c r="M50" i="12"/>
  <c r="P50" i="12" s="1"/>
  <c r="Q50" i="12" s="1"/>
  <c r="M116" i="12"/>
  <c r="M107" i="12"/>
  <c r="P107" i="12" s="1"/>
  <c r="Q107" i="12" s="1"/>
  <c r="M74" i="12"/>
  <c r="M101" i="12"/>
  <c r="P101" i="12" s="1"/>
  <c r="Q101" i="12" s="1"/>
  <c r="M75" i="12"/>
  <c r="P75" i="12" s="1"/>
  <c r="Q75" i="12" s="1"/>
  <c r="M69" i="12"/>
  <c r="P69" i="12" s="1"/>
  <c r="Q69" i="12" s="1"/>
  <c r="M64" i="12"/>
  <c r="P64" i="12" s="1"/>
  <c r="Q64" i="12" s="1"/>
  <c r="M56" i="12"/>
  <c r="P56" i="12" s="1"/>
  <c r="Q56" i="12" s="1"/>
  <c r="P49" i="12"/>
  <c r="Q49" i="12" s="1"/>
  <c r="M51" i="12"/>
  <c r="P51" i="12" s="1"/>
  <c r="Q51" i="12" s="1"/>
  <c r="M45" i="12"/>
  <c r="P45" i="12" s="1"/>
  <c r="Q45" i="12" s="1"/>
  <c r="M30" i="12"/>
  <c r="P30" i="12" s="1"/>
  <c r="Q30" i="12" s="1"/>
  <c r="M44" i="12"/>
  <c r="P44" i="12" s="1"/>
  <c r="Q44" i="12" s="1"/>
  <c r="M34" i="12"/>
  <c r="L34" i="12"/>
  <c r="L49" i="14"/>
  <c r="M49" i="14" s="1"/>
  <c r="M50" i="14" s="1"/>
  <c r="L50" i="14" l="1"/>
  <c r="P74" i="12"/>
  <c r="Q74" i="12" s="1"/>
  <c r="M76" i="12"/>
  <c r="N158" i="17"/>
  <c r="N167" i="17" s="1"/>
  <c r="O39" i="17"/>
  <c r="N23" i="17"/>
  <c r="K29" i="17"/>
  <c r="P136" i="12"/>
  <c r="P137" i="12" s="1"/>
  <c r="P170" i="12"/>
  <c r="M174" i="12"/>
  <c r="P173" i="12"/>
  <c r="Q173" i="12" s="1"/>
  <c r="P116" i="12"/>
  <c r="P33" i="12"/>
  <c r="Q33" i="12" s="1"/>
  <c r="Q34" i="12" s="1"/>
  <c r="P49" i="14"/>
  <c r="P50" i="14" s="1"/>
  <c r="Q49" i="14" l="1"/>
  <c r="Q50" i="14" s="1"/>
  <c r="O158" i="17"/>
  <c r="O167" i="17" s="1"/>
  <c r="O23" i="17"/>
  <c r="Q136" i="12"/>
  <c r="Q137" i="12" s="1"/>
  <c r="Q170" i="12"/>
  <c r="Q174" i="12" s="1"/>
  <c r="P174" i="12"/>
  <c r="Q116" i="12"/>
  <c r="P34" i="12"/>
  <c r="N54" i="14"/>
  <c r="M54" i="14" s="1"/>
  <c r="P54" i="14" s="1"/>
  <c r="Q54" i="14" s="1"/>
  <c r="N55" i="14"/>
  <c r="M55" i="14" s="1"/>
  <c r="P55" i="14" s="1"/>
  <c r="Q55" i="14" s="1"/>
  <c r="I618" i="17"/>
  <c r="I619" i="17"/>
  <c r="I620" i="17"/>
  <c r="I621" i="17"/>
  <c r="I622" i="17"/>
  <c r="I623" i="17"/>
  <c r="I624" i="17"/>
  <c r="I625" i="17"/>
  <c r="I626" i="17"/>
  <c r="I605" i="17"/>
  <c r="I606" i="17"/>
  <c r="I607" i="17"/>
  <c r="I539" i="17"/>
  <c r="I540" i="17"/>
  <c r="I541" i="17"/>
  <c r="I542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I576" i="17"/>
  <c r="I577" i="17"/>
  <c r="I578" i="17"/>
  <c r="I579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5" i="17"/>
  <c r="I385" i="17"/>
  <c r="I370" i="17"/>
  <c r="I371" i="17"/>
  <c r="I372" i="17"/>
  <c r="I361" i="17"/>
  <c r="I362" i="17"/>
  <c r="I363" i="17"/>
  <c r="I364" i="17"/>
  <c r="I365" i="17"/>
  <c r="I366" i="17"/>
  <c r="I353" i="17"/>
  <c r="I354" i="17"/>
  <c r="I355" i="17"/>
  <c r="I356" i="17"/>
  <c r="I357" i="17"/>
  <c r="I341" i="17"/>
  <c r="I343" i="17"/>
  <c r="I344" i="17"/>
  <c r="I345" i="17"/>
  <c r="I346" i="17"/>
  <c r="I347" i="17"/>
  <c r="I348" i="17"/>
  <c r="I349" i="17"/>
  <c r="I333" i="17"/>
  <c r="I334" i="17"/>
  <c r="I335" i="17"/>
  <c r="I323" i="17"/>
  <c r="I324" i="17"/>
  <c r="I325" i="17"/>
  <c r="I326" i="17"/>
  <c r="I327" i="17"/>
  <c r="I328" i="17"/>
  <c r="I329" i="17"/>
  <c r="I314" i="17"/>
  <c r="I315" i="17"/>
  <c r="I316" i="17"/>
  <c r="I317" i="17"/>
  <c r="I318" i="17"/>
  <c r="I319" i="17"/>
  <c r="I310" i="17"/>
  <c r="I290" i="17"/>
  <c r="I285" i="17"/>
  <c r="I286" i="17"/>
  <c r="I281" i="17"/>
  <c r="I282" i="17"/>
  <c r="I277" i="17"/>
  <c r="I271" i="17"/>
  <c r="I272" i="17"/>
  <c r="I273" i="17"/>
  <c r="I267" i="17"/>
  <c r="I259" i="17"/>
  <c r="I260" i="17"/>
  <c r="I262" i="17"/>
  <c r="I263" i="17"/>
  <c r="I255" i="17"/>
  <c r="I240" i="17"/>
  <c r="I241" i="17"/>
  <c r="I243" i="17"/>
  <c r="I244" i="17"/>
  <c r="I245" i="17"/>
  <c r="I246" i="17"/>
  <c r="I247" i="17"/>
  <c r="I248" i="17"/>
  <c r="I249" i="17"/>
  <c r="I250" i="17"/>
  <c r="I221" i="17"/>
  <c r="I223" i="17"/>
  <c r="I224" i="17"/>
  <c r="I225" i="17"/>
  <c r="I226" i="17"/>
  <c r="I227" i="17"/>
  <c r="I228" i="17"/>
  <c r="I229" i="17"/>
  <c r="I230" i="17"/>
  <c r="I217" i="17"/>
  <c r="I183" i="17"/>
  <c r="I184" i="17"/>
  <c r="I185" i="17"/>
  <c r="I186" i="17"/>
  <c r="I187" i="17"/>
  <c r="I188" i="17"/>
  <c r="I189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170" i="17"/>
  <c r="I176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126" i="17"/>
  <c r="I144" i="17"/>
  <c r="I145" i="17"/>
  <c r="I155" i="17"/>
  <c r="I69" i="17"/>
  <c r="I59" i="17"/>
  <c r="I63" i="17"/>
  <c r="I64" i="17"/>
  <c r="I55" i="17"/>
  <c r="I40" i="17"/>
  <c r="I41" i="17"/>
  <c r="I33" i="17"/>
  <c r="I35" i="17"/>
  <c r="I36" i="17"/>
  <c r="I28" i="17"/>
  <c r="I29" i="17" s="1"/>
  <c r="I12" i="17"/>
  <c r="I13" i="17"/>
  <c r="J341" i="17"/>
  <c r="J343" i="17"/>
  <c r="J344" i="17"/>
  <c r="J345" i="17"/>
  <c r="J346" i="17"/>
  <c r="J347" i="17"/>
  <c r="J348" i="17"/>
  <c r="L605" i="17"/>
  <c r="L606" i="17"/>
  <c r="L607" i="17"/>
  <c r="J605" i="17"/>
  <c r="J606" i="17"/>
  <c r="J607" i="17"/>
  <c r="L408" i="17"/>
  <c r="J408" i="17"/>
  <c r="L388" i="17"/>
  <c r="L389" i="17"/>
  <c r="L390" i="17"/>
  <c r="L392" i="17"/>
  <c r="L393" i="17"/>
  <c r="L394" i="17"/>
  <c r="L395" i="17"/>
  <c r="L396" i="17"/>
  <c r="L397" i="17"/>
  <c r="L398" i="17"/>
  <c r="L399" i="17"/>
  <c r="L400" i="17"/>
  <c r="L401" i="17"/>
  <c r="L402" i="17"/>
  <c r="L341" i="17"/>
  <c r="L343" i="17"/>
  <c r="L344" i="17"/>
  <c r="L345" i="17"/>
  <c r="L346" i="17"/>
  <c r="L347" i="17"/>
  <c r="L348" i="17"/>
  <c r="L349" i="17"/>
  <c r="L333" i="17"/>
  <c r="L334" i="17"/>
  <c r="L335" i="17"/>
  <c r="L332" i="17"/>
  <c r="L189" i="17"/>
  <c r="J221" i="17"/>
  <c r="L221" i="17"/>
  <c r="J241" i="17"/>
  <c r="L241" i="17"/>
  <c r="K229" i="12"/>
  <c r="L229" i="12"/>
  <c r="N229" i="12"/>
  <c r="K230" i="12"/>
  <c r="L230" i="12"/>
  <c r="N230" i="12"/>
  <c r="K231" i="12"/>
  <c r="L231" i="12"/>
  <c r="N231" i="12"/>
  <c r="K232" i="12"/>
  <c r="L232" i="12"/>
  <c r="N232" i="12"/>
  <c r="K233" i="12"/>
  <c r="L233" i="12"/>
  <c r="N233" i="12"/>
  <c r="N228" i="12"/>
  <c r="L228" i="12"/>
  <c r="K228" i="12"/>
  <c r="K144" i="12"/>
  <c r="L144" i="12"/>
  <c r="N144" i="12"/>
  <c r="O125" i="12"/>
  <c r="J125" i="12"/>
  <c r="I125" i="12"/>
  <c r="N124" i="12"/>
  <c r="N125" i="12" s="1"/>
  <c r="L124" i="12"/>
  <c r="K124" i="12"/>
  <c r="K125" i="12" s="1"/>
  <c r="O61" i="12"/>
  <c r="J61" i="12"/>
  <c r="I61" i="12"/>
  <c r="N60" i="12"/>
  <c r="N61" i="12" s="1"/>
  <c r="L60" i="12"/>
  <c r="K60" i="12"/>
  <c r="K61" i="12" s="1"/>
  <c r="K48" i="12"/>
  <c r="L48" i="12"/>
  <c r="N48" i="12"/>
  <c r="K33" i="14"/>
  <c r="L33" i="14" s="1"/>
  <c r="N33" i="14"/>
  <c r="H84" i="11"/>
  <c r="M84" i="11"/>
  <c r="N84" i="11" s="1"/>
  <c r="H85" i="11"/>
  <c r="M85" i="11"/>
  <c r="N85" i="11" s="1"/>
  <c r="K341" i="17" l="1"/>
  <c r="K343" i="17"/>
  <c r="K348" i="17"/>
  <c r="K346" i="17"/>
  <c r="K345" i="17"/>
  <c r="I214" i="17"/>
  <c r="K235" i="12"/>
  <c r="L235" i="12"/>
  <c r="N235" i="12"/>
  <c r="M231" i="12"/>
  <c r="P231" i="12" s="1"/>
  <c r="Q231" i="12" s="1"/>
  <c r="M233" i="12"/>
  <c r="P233" i="12" s="1"/>
  <c r="Q233" i="12" s="1"/>
  <c r="M228" i="12"/>
  <c r="P232" i="12"/>
  <c r="Q232" i="12" s="1"/>
  <c r="K607" i="17"/>
  <c r="K605" i="17"/>
  <c r="K606" i="17"/>
  <c r="K189" i="17"/>
  <c r="N189" i="17" s="1"/>
  <c r="O189" i="17" s="1"/>
  <c r="K221" i="17"/>
  <c r="N221" i="17" s="1"/>
  <c r="O221" i="17" s="1"/>
  <c r="K241" i="17"/>
  <c r="N241" i="17" s="1"/>
  <c r="O241" i="17" s="1"/>
  <c r="P230" i="12"/>
  <c r="Q230" i="12" s="1"/>
  <c r="M229" i="12"/>
  <c r="P229" i="12" s="1"/>
  <c r="Q229" i="12" s="1"/>
  <c r="P144" i="12"/>
  <c r="Q144" i="12" s="1"/>
  <c r="M124" i="12"/>
  <c r="M125" i="12" s="1"/>
  <c r="L125" i="12"/>
  <c r="M61" i="12"/>
  <c r="L61" i="12"/>
  <c r="P48" i="12"/>
  <c r="Q48" i="12" s="1"/>
  <c r="M33" i="14"/>
  <c r="P33" i="14" s="1"/>
  <c r="Q33" i="14" s="1"/>
  <c r="P228" i="12" l="1"/>
  <c r="P235" i="12" s="1"/>
  <c r="M235" i="12"/>
  <c r="P60" i="12"/>
  <c r="Q60" i="12" s="1"/>
  <c r="Q61" i="12" s="1"/>
  <c r="P124" i="12"/>
  <c r="P125" i="12" s="1"/>
  <c r="Q228" i="12" l="1"/>
  <c r="Q235" i="12" s="1"/>
  <c r="P61" i="12"/>
  <c r="Q124" i="12"/>
  <c r="Q125" i="12" s="1"/>
  <c r="K32" i="14"/>
  <c r="N32" i="14"/>
  <c r="N13" i="11"/>
  <c r="N25" i="11"/>
  <c r="N26" i="11"/>
  <c r="N101" i="11"/>
  <c r="M102" i="11"/>
  <c r="M100" i="11"/>
  <c r="N100" i="11" s="1"/>
  <c r="G113" i="11"/>
  <c r="I113" i="11"/>
  <c r="J113" i="11"/>
  <c r="K113" i="11"/>
  <c r="L113" i="11"/>
  <c r="F113" i="11"/>
  <c r="H101" i="11"/>
  <c r="H102" i="11"/>
  <c r="H103" i="11"/>
  <c r="N103" i="11" s="1"/>
  <c r="H104" i="11"/>
  <c r="N104" i="11" s="1"/>
  <c r="H105" i="11"/>
  <c r="N105" i="11" s="1"/>
  <c r="H106" i="11"/>
  <c r="N106" i="11" s="1"/>
  <c r="H107" i="11"/>
  <c r="N107" i="11" s="1"/>
  <c r="H108" i="11"/>
  <c r="N108" i="11" s="1"/>
  <c r="H109" i="11"/>
  <c r="N109" i="11" s="1"/>
  <c r="H110" i="11"/>
  <c r="N110" i="11" s="1"/>
  <c r="L32" i="14" l="1"/>
  <c r="M32" i="14" s="1"/>
  <c r="N102" i="11"/>
  <c r="P32" i="14" l="1"/>
  <c r="L91" i="17"/>
  <c r="J91" i="17"/>
  <c r="L155" i="17"/>
  <c r="J155" i="17"/>
  <c r="L145" i="17"/>
  <c r="J145" i="17"/>
  <c r="L290" i="17"/>
  <c r="J290" i="17"/>
  <c r="L144" i="17"/>
  <c r="J144" i="17"/>
  <c r="L188" i="17"/>
  <c r="L126" i="17"/>
  <c r="J126" i="17"/>
  <c r="L94" i="17"/>
  <c r="J94" i="17"/>
  <c r="L93" i="17"/>
  <c r="J93" i="17"/>
  <c r="L92" i="17"/>
  <c r="J92" i="17"/>
  <c r="L90" i="17"/>
  <c r="J90" i="17"/>
  <c r="L89" i="17"/>
  <c r="J89" i="17"/>
  <c r="L88" i="17"/>
  <c r="J88" i="17"/>
  <c r="L87" i="17"/>
  <c r="J87" i="17"/>
  <c r="L285" i="17"/>
  <c r="K287" i="17"/>
  <c r="M287" i="17"/>
  <c r="L16" i="17"/>
  <c r="L17" i="17" s="1"/>
  <c r="J16" i="17"/>
  <c r="J17" i="17" s="1"/>
  <c r="H17" i="17"/>
  <c r="I17" i="17"/>
  <c r="M17" i="17"/>
  <c r="H278" i="17"/>
  <c r="M278" i="17"/>
  <c r="G278" i="17"/>
  <c r="I276" i="17"/>
  <c r="J276" i="17"/>
  <c r="N276" i="17" s="1"/>
  <c r="O276" i="17" s="1"/>
  <c r="G17" i="17"/>
  <c r="H287" i="17"/>
  <c r="G287" i="17"/>
  <c r="J85" i="17"/>
  <c r="L85" i="17"/>
  <c r="J86" i="17"/>
  <c r="L86" i="17"/>
  <c r="L186" i="17"/>
  <c r="L187" i="17"/>
  <c r="Q32" i="14" l="1"/>
  <c r="K91" i="17"/>
  <c r="N91" i="17" s="1"/>
  <c r="O91" i="17" s="1"/>
  <c r="K155" i="17"/>
  <c r="N155" i="17" s="1"/>
  <c r="O155" i="17" s="1"/>
  <c r="K145" i="17"/>
  <c r="N145" i="17" s="1"/>
  <c r="O145" i="17" s="1"/>
  <c r="K290" i="17"/>
  <c r="N290" i="17" s="1"/>
  <c r="O290" i="17" s="1"/>
  <c r="K144" i="17"/>
  <c r="N144" i="17" s="1"/>
  <c r="O144" i="17" s="1"/>
  <c r="K188" i="17"/>
  <c r="N188" i="17" s="1"/>
  <c r="O188" i="17" s="1"/>
  <c r="K88" i="17"/>
  <c r="N88" i="17" s="1"/>
  <c r="O88" i="17" s="1"/>
  <c r="L287" i="17"/>
  <c r="K126" i="17"/>
  <c r="N126" i="17" s="1"/>
  <c r="O126" i="17" s="1"/>
  <c r="K94" i="17"/>
  <c r="N94" i="17" s="1"/>
  <c r="O94" i="17" s="1"/>
  <c r="K93" i="17"/>
  <c r="N93" i="17" s="1"/>
  <c r="O93" i="17" s="1"/>
  <c r="K92" i="17"/>
  <c r="N92" i="17" s="1"/>
  <c r="O92" i="17" s="1"/>
  <c r="K90" i="17"/>
  <c r="N90" i="17" s="1"/>
  <c r="O90" i="17" s="1"/>
  <c r="K89" i="17"/>
  <c r="N89" i="17" s="1"/>
  <c r="O89" i="17" s="1"/>
  <c r="K87" i="17"/>
  <c r="N87" i="17" s="1"/>
  <c r="O87" i="17" s="1"/>
  <c r="K16" i="17"/>
  <c r="K17" i="17" s="1"/>
  <c r="K187" i="17"/>
  <c r="N187" i="17" s="1"/>
  <c r="O187" i="17" s="1"/>
  <c r="K85" i="17"/>
  <c r="N85" i="17" s="1"/>
  <c r="O85" i="17" s="1"/>
  <c r="K86" i="17"/>
  <c r="N86" i="17" s="1"/>
  <c r="O86" i="17" s="1"/>
  <c r="K186" i="17"/>
  <c r="N186" i="17" s="1"/>
  <c r="O186" i="17" s="1"/>
  <c r="N16" i="17" l="1"/>
  <c r="O16" i="17" l="1"/>
  <c r="O17" i="17" s="1"/>
  <c r="N17" i="17"/>
  <c r="J122" i="12" l="1"/>
  <c r="J103" i="12"/>
  <c r="O103" i="12"/>
  <c r="J89" i="12"/>
  <c r="O89" i="12"/>
  <c r="I89" i="12"/>
  <c r="K198" i="12"/>
  <c r="L198" i="12"/>
  <c r="N198" i="12"/>
  <c r="K199" i="12"/>
  <c r="L199" i="12"/>
  <c r="N199" i="12"/>
  <c r="N143" i="12"/>
  <c r="K143" i="12"/>
  <c r="L143" i="12"/>
  <c r="N102" i="12"/>
  <c r="L102" i="12"/>
  <c r="K102" i="12"/>
  <c r="N100" i="12"/>
  <c r="L100" i="12"/>
  <c r="K100" i="12"/>
  <c r="N87" i="12"/>
  <c r="L87" i="12"/>
  <c r="K87" i="12"/>
  <c r="N79" i="12"/>
  <c r="L79" i="12"/>
  <c r="K79" i="12"/>
  <c r="J71" i="12"/>
  <c r="O71" i="12"/>
  <c r="I71" i="12"/>
  <c r="N57" i="12"/>
  <c r="L57" i="12"/>
  <c r="K57" i="12"/>
  <c r="O27" i="12"/>
  <c r="M27" i="12"/>
  <c r="J27" i="12"/>
  <c r="I27" i="12"/>
  <c r="N26" i="12"/>
  <c r="N27" i="12" s="1"/>
  <c r="L26" i="12"/>
  <c r="K26" i="12"/>
  <c r="K27" i="12" s="1"/>
  <c r="H74" i="11"/>
  <c r="M74" i="11"/>
  <c r="N74" i="11" s="1"/>
  <c r="M199" i="12" l="1"/>
  <c r="P199" i="12" s="1"/>
  <c r="Q199" i="12" s="1"/>
  <c r="M198" i="12"/>
  <c r="P198" i="12" s="1"/>
  <c r="Q198" i="12" s="1"/>
  <c r="M143" i="12"/>
  <c r="P143" i="12" s="1"/>
  <c r="Q143" i="12" s="1"/>
  <c r="M100" i="12"/>
  <c r="P100" i="12" s="1"/>
  <c r="Q100" i="12" s="1"/>
  <c r="P87" i="12"/>
  <c r="M102" i="12"/>
  <c r="P102" i="12" s="1"/>
  <c r="Q102" i="12" s="1"/>
  <c r="P26" i="12"/>
  <c r="P27" i="12" s="1"/>
  <c r="M79" i="12"/>
  <c r="P79" i="12" s="1"/>
  <c r="Q79" i="12" s="1"/>
  <c r="M57" i="12"/>
  <c r="P57" i="12" s="1"/>
  <c r="Q57" i="12" s="1"/>
  <c r="L27" i="12"/>
  <c r="H218" i="17"/>
  <c r="M218" i="17"/>
  <c r="G218" i="17"/>
  <c r="H367" i="17"/>
  <c r="M367" i="17"/>
  <c r="G367" i="17"/>
  <c r="Q87" i="12" l="1"/>
  <c r="Q26" i="12"/>
  <c r="Q27" i="12" s="1"/>
  <c r="N606" i="17"/>
  <c r="O606" i="17" s="1"/>
  <c r="J504" i="17" l="1"/>
  <c r="L504" i="17"/>
  <c r="J505" i="17"/>
  <c r="L505" i="17"/>
  <c r="J506" i="17"/>
  <c r="L506" i="17"/>
  <c r="J507" i="17"/>
  <c r="L507" i="17"/>
  <c r="L449" i="17"/>
  <c r="J449" i="17"/>
  <c r="L448" i="17"/>
  <c r="J448" i="17"/>
  <c r="L447" i="17"/>
  <c r="J447" i="17"/>
  <c r="L445" i="17"/>
  <c r="J445" i="17"/>
  <c r="L444" i="17"/>
  <c r="J444" i="17"/>
  <c r="L443" i="17"/>
  <c r="J443" i="17"/>
  <c r="L442" i="17"/>
  <c r="J442" i="17"/>
  <c r="L441" i="17"/>
  <c r="J441" i="17"/>
  <c r="L440" i="17"/>
  <c r="J440" i="17"/>
  <c r="L438" i="17"/>
  <c r="K438" i="17" s="1"/>
  <c r="L437" i="17"/>
  <c r="J437" i="17"/>
  <c r="L436" i="17"/>
  <c r="J436" i="17"/>
  <c r="J435" i="17"/>
  <c r="L435" i="17"/>
  <c r="M426" i="17"/>
  <c r="H426" i="17"/>
  <c r="G426" i="17"/>
  <c r="N422" i="17"/>
  <c r="O422" i="17" s="1"/>
  <c r="I408" i="17"/>
  <c r="I360" i="17"/>
  <c r="J360" i="17"/>
  <c r="L360" i="17"/>
  <c r="H358" i="17"/>
  <c r="M358" i="17"/>
  <c r="G358" i="17"/>
  <c r="J352" i="17"/>
  <c r="L352" i="17"/>
  <c r="H320" i="17"/>
  <c r="M320" i="17"/>
  <c r="H251" i="17"/>
  <c r="M251" i="17"/>
  <c r="G251" i="17"/>
  <c r="K250" i="17"/>
  <c r="N250" i="17" s="1"/>
  <c r="O250" i="17" s="1"/>
  <c r="L248" i="17"/>
  <c r="J248" i="17"/>
  <c r="L247" i="17"/>
  <c r="J247" i="17"/>
  <c r="L246" i="17"/>
  <c r="J246" i="17"/>
  <c r="L245" i="17"/>
  <c r="J245" i="17"/>
  <c r="L244" i="17"/>
  <c r="J244" i="17"/>
  <c r="K243" i="17"/>
  <c r="N243" i="17" s="1"/>
  <c r="O243" i="17" s="1"/>
  <c r="J217" i="17"/>
  <c r="L217" i="17"/>
  <c r="L205" i="17"/>
  <c r="L204" i="17"/>
  <c r="L203" i="17"/>
  <c r="L202" i="17"/>
  <c r="K202" i="17" s="1"/>
  <c r="L207" i="17"/>
  <c r="L200" i="17"/>
  <c r="K200" i="17" s="1"/>
  <c r="N200" i="17" s="1"/>
  <c r="O200" i="17" s="1"/>
  <c r="L199" i="17"/>
  <c r="L198" i="17"/>
  <c r="L197" i="17"/>
  <c r="L196" i="17"/>
  <c r="L195" i="17"/>
  <c r="L193" i="17"/>
  <c r="L192" i="17"/>
  <c r="L194" i="17"/>
  <c r="L185" i="17"/>
  <c r="L19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H70" i="17"/>
  <c r="M70" i="17"/>
  <c r="G70" i="17"/>
  <c r="I67" i="17"/>
  <c r="J67" i="17"/>
  <c r="L67" i="17"/>
  <c r="J59" i="17"/>
  <c r="L59" i="17"/>
  <c r="K443" i="17" l="1"/>
  <c r="K435" i="17"/>
  <c r="K437" i="17"/>
  <c r="N437" i="17" s="1"/>
  <c r="O437" i="17" s="1"/>
  <c r="K444" i="17"/>
  <c r="N444" i="17" s="1"/>
  <c r="O444" i="17" s="1"/>
  <c r="K441" i="17"/>
  <c r="N441" i="17" s="1"/>
  <c r="O441" i="17" s="1"/>
  <c r="K448" i="17"/>
  <c r="N448" i="17" s="1"/>
  <c r="O448" i="17" s="1"/>
  <c r="K436" i="17"/>
  <c r="N436" i="17" s="1"/>
  <c r="O436" i="17" s="1"/>
  <c r="K442" i="17"/>
  <c r="N442" i="17" s="1"/>
  <c r="O442" i="17" s="1"/>
  <c r="K449" i="17"/>
  <c r="N449" i="17" s="1"/>
  <c r="O449" i="17" s="1"/>
  <c r="K445" i="17"/>
  <c r="N445" i="17" s="1"/>
  <c r="O445" i="17" s="1"/>
  <c r="K505" i="17"/>
  <c r="N505" i="17" s="1"/>
  <c r="O505" i="17" s="1"/>
  <c r="K506" i="17"/>
  <c r="N506" i="17" s="1"/>
  <c r="O506" i="17" s="1"/>
  <c r="K440" i="17"/>
  <c r="N440" i="17" s="1"/>
  <c r="O440" i="17" s="1"/>
  <c r="K447" i="17"/>
  <c r="N447" i="17" s="1"/>
  <c r="O447" i="17" s="1"/>
  <c r="K507" i="17"/>
  <c r="N507" i="17" s="1"/>
  <c r="O507" i="17" s="1"/>
  <c r="K504" i="17"/>
  <c r="N504" i="17" s="1"/>
  <c r="O504" i="17" s="1"/>
  <c r="N443" i="17"/>
  <c r="O443" i="17" s="1"/>
  <c r="J156" i="17"/>
  <c r="L156" i="17"/>
  <c r="N438" i="17"/>
  <c r="O438" i="17" s="1"/>
  <c r="N435" i="17"/>
  <c r="O435" i="17" s="1"/>
  <c r="N352" i="17"/>
  <c r="O352" i="17" s="1"/>
  <c r="N423" i="17"/>
  <c r="O423" i="17" s="1"/>
  <c r="N421" i="17"/>
  <c r="O421" i="17" s="1"/>
  <c r="N419" i="17"/>
  <c r="O419" i="17" s="1"/>
  <c r="N420" i="17"/>
  <c r="O420" i="17" s="1"/>
  <c r="N418" i="17"/>
  <c r="O418" i="17" s="1"/>
  <c r="N417" i="17"/>
  <c r="O417" i="17" s="1"/>
  <c r="N414" i="17"/>
  <c r="O414" i="17" s="1"/>
  <c r="N416" i="17"/>
  <c r="O416" i="17" s="1"/>
  <c r="N413" i="17"/>
  <c r="O413" i="17" s="1"/>
  <c r="N412" i="17"/>
  <c r="O412" i="17" s="1"/>
  <c r="N411" i="17"/>
  <c r="O411" i="17" s="1"/>
  <c r="N409" i="17"/>
  <c r="O409" i="17" s="1"/>
  <c r="N410" i="17"/>
  <c r="O410" i="17" s="1"/>
  <c r="K408" i="17"/>
  <c r="K360" i="17"/>
  <c r="K248" i="17"/>
  <c r="N248" i="17" s="1"/>
  <c r="O248" i="17" s="1"/>
  <c r="K247" i="17"/>
  <c r="N247" i="17" s="1"/>
  <c r="O247" i="17" s="1"/>
  <c r="K246" i="17"/>
  <c r="N246" i="17" s="1"/>
  <c r="O246" i="17" s="1"/>
  <c r="K245" i="17"/>
  <c r="N245" i="17" s="1"/>
  <c r="O245" i="17" s="1"/>
  <c r="K244" i="17"/>
  <c r="N244" i="17" s="1"/>
  <c r="O244" i="17" s="1"/>
  <c r="K217" i="17"/>
  <c r="N217" i="17" s="1"/>
  <c r="O217" i="17" s="1"/>
  <c r="K205" i="17"/>
  <c r="N205" i="17" s="1"/>
  <c r="O205" i="17" s="1"/>
  <c r="N207" i="17"/>
  <c r="O207" i="17" s="1"/>
  <c r="K204" i="17"/>
  <c r="N204" i="17" s="1"/>
  <c r="O204" i="17" s="1"/>
  <c r="N202" i="17"/>
  <c r="O202" i="17" s="1"/>
  <c r="K203" i="17"/>
  <c r="N203" i="17" s="1"/>
  <c r="O203" i="17" s="1"/>
  <c r="K199" i="17"/>
  <c r="N199" i="17" s="1"/>
  <c r="O199" i="17" s="1"/>
  <c r="K198" i="17"/>
  <c r="N198" i="17" s="1"/>
  <c r="O198" i="17" s="1"/>
  <c r="K197" i="17"/>
  <c r="N197" i="17" s="1"/>
  <c r="O197" i="17" s="1"/>
  <c r="K196" i="17"/>
  <c r="N196" i="17" s="1"/>
  <c r="O196" i="17" s="1"/>
  <c r="K195" i="17"/>
  <c r="N195" i="17" s="1"/>
  <c r="O195" i="17" s="1"/>
  <c r="K194" i="17"/>
  <c r="N194" i="17" s="1"/>
  <c r="O194" i="17" s="1"/>
  <c r="K192" i="17"/>
  <c r="N192" i="17" s="1"/>
  <c r="O192" i="17" s="1"/>
  <c r="K193" i="17"/>
  <c r="N193" i="17" s="1"/>
  <c r="O193" i="17" s="1"/>
  <c r="K185" i="17"/>
  <c r="N185" i="17" s="1"/>
  <c r="O185" i="17" s="1"/>
  <c r="K191" i="17"/>
  <c r="N191" i="17" s="1"/>
  <c r="O191" i="17" s="1"/>
  <c r="N67" i="17"/>
  <c r="O67" i="17" s="1"/>
  <c r="K59" i="17"/>
  <c r="N59" i="17" s="1"/>
  <c r="O59" i="17" s="1"/>
  <c r="N360" i="17" l="1"/>
  <c r="N408" i="17"/>
  <c r="O408" i="17" s="1"/>
  <c r="O360" i="17" l="1"/>
  <c r="J30" i="14"/>
  <c r="O30" i="14"/>
  <c r="I30" i="14"/>
  <c r="K28" i="14"/>
  <c r="M39" i="11"/>
  <c r="M38" i="11"/>
  <c r="M37" i="11"/>
  <c r="J146" i="12"/>
  <c r="O146" i="12"/>
  <c r="I146" i="12"/>
  <c r="N197" i="12"/>
  <c r="L197" i="12"/>
  <c r="K197" i="12"/>
  <c r="N196" i="12"/>
  <c r="L196" i="12"/>
  <c r="K196" i="12"/>
  <c r="N195" i="12"/>
  <c r="L195" i="12"/>
  <c r="K195" i="12"/>
  <c r="N194" i="12"/>
  <c r="L194" i="12"/>
  <c r="K194" i="12"/>
  <c r="N193" i="12"/>
  <c r="L193" i="12"/>
  <c r="K193" i="12"/>
  <c r="N192" i="12"/>
  <c r="L192" i="12"/>
  <c r="K192" i="12"/>
  <c r="N191" i="12"/>
  <c r="L191" i="12"/>
  <c r="K191" i="12"/>
  <c r="N190" i="12"/>
  <c r="L190" i="12"/>
  <c r="K190" i="12"/>
  <c r="N189" i="12"/>
  <c r="L189" i="12"/>
  <c r="K189" i="12"/>
  <c r="N188" i="12"/>
  <c r="L188" i="12"/>
  <c r="K188" i="12"/>
  <c r="N187" i="12"/>
  <c r="L187" i="12"/>
  <c r="K187" i="12"/>
  <c r="N186" i="12"/>
  <c r="L186" i="12"/>
  <c r="K186" i="12"/>
  <c r="N185" i="12"/>
  <c r="L185" i="12"/>
  <c r="K185" i="12"/>
  <c r="N184" i="12"/>
  <c r="L184" i="12"/>
  <c r="K184" i="12"/>
  <c r="N183" i="12"/>
  <c r="L183" i="12"/>
  <c r="K183" i="12"/>
  <c r="N182" i="12"/>
  <c r="L182" i="12"/>
  <c r="K182" i="12"/>
  <c r="N181" i="12"/>
  <c r="L181" i="12"/>
  <c r="K181" i="12"/>
  <c r="N180" i="12"/>
  <c r="L180" i="12"/>
  <c r="K180" i="12"/>
  <c r="N179" i="12"/>
  <c r="L179" i="12"/>
  <c r="K179" i="12"/>
  <c r="O265" i="12"/>
  <c r="J265" i="12"/>
  <c r="I265" i="12"/>
  <c r="N264" i="12"/>
  <c r="N265" i="12" s="1"/>
  <c r="L264" i="12"/>
  <c r="K264" i="12"/>
  <c r="K265" i="12" s="1"/>
  <c r="K240" i="12"/>
  <c r="L240" i="12"/>
  <c r="L241" i="12" s="1"/>
  <c r="N240" i="12"/>
  <c r="I241" i="12"/>
  <c r="J241" i="12"/>
  <c r="O241" i="12"/>
  <c r="K243" i="12"/>
  <c r="L243" i="12"/>
  <c r="N243" i="12"/>
  <c r="K244" i="12"/>
  <c r="L244" i="12"/>
  <c r="N244" i="12"/>
  <c r="K260" i="12"/>
  <c r="L260" i="12"/>
  <c r="N260" i="12"/>
  <c r="O160" i="12"/>
  <c r="J160" i="12"/>
  <c r="I160" i="12"/>
  <c r="N159" i="12"/>
  <c r="N160" i="12" s="1"/>
  <c r="L159" i="12"/>
  <c r="K159" i="12"/>
  <c r="K160" i="12" s="1"/>
  <c r="K142" i="12"/>
  <c r="L142" i="12"/>
  <c r="N142" i="12"/>
  <c r="J85" i="12"/>
  <c r="O85" i="12"/>
  <c r="J81" i="12"/>
  <c r="O81" i="12"/>
  <c r="I81" i="12"/>
  <c r="I85" i="12"/>
  <c r="N68" i="12"/>
  <c r="L68" i="12"/>
  <c r="K68" i="12"/>
  <c r="J46" i="12"/>
  <c r="O46" i="12"/>
  <c r="I46" i="12"/>
  <c r="N39" i="12"/>
  <c r="N41" i="12" s="1"/>
  <c r="L39" i="12"/>
  <c r="L41" i="12" s="1"/>
  <c r="K39" i="12"/>
  <c r="K41" i="12" s="1"/>
  <c r="H88" i="11"/>
  <c r="N88" i="11" s="1"/>
  <c r="H90" i="11"/>
  <c r="N90" i="11" s="1"/>
  <c r="H89" i="11"/>
  <c r="N89" i="11" s="1"/>
  <c r="H86" i="11"/>
  <c r="N86" i="11" s="1"/>
  <c r="M48" i="11"/>
  <c r="M43" i="11"/>
  <c r="M42" i="11"/>
  <c r="M41" i="11"/>
  <c r="M40" i="11"/>
  <c r="M29" i="11"/>
  <c r="N29" i="11" s="1"/>
  <c r="N14" i="11"/>
  <c r="M28" i="11"/>
  <c r="N28" i="11" s="1"/>
  <c r="M27" i="11"/>
  <c r="N27" i="11" s="1"/>
  <c r="H76" i="11"/>
  <c r="M76" i="11"/>
  <c r="N76" i="11" s="1"/>
  <c r="N34" i="14"/>
  <c r="K34" i="14"/>
  <c r="N29" i="14"/>
  <c r="N30" i="14" s="1"/>
  <c r="K29" i="14"/>
  <c r="J58" i="12"/>
  <c r="O58" i="12"/>
  <c r="I58" i="12"/>
  <c r="J21" i="12"/>
  <c r="O21" i="12"/>
  <c r="O134" i="12"/>
  <c r="J134" i="12"/>
  <c r="I134" i="12"/>
  <c r="N133" i="12"/>
  <c r="N134" i="12" s="1"/>
  <c r="L133" i="12"/>
  <c r="L134" i="12" s="1"/>
  <c r="K133" i="12"/>
  <c r="K134" i="12" s="1"/>
  <c r="O114" i="12"/>
  <c r="J114" i="12"/>
  <c r="I114" i="12"/>
  <c r="N113" i="12"/>
  <c r="N114" i="12" s="1"/>
  <c r="L113" i="12"/>
  <c r="K113" i="12"/>
  <c r="K114" i="12" s="1"/>
  <c r="N84" i="12"/>
  <c r="L84" i="12"/>
  <c r="K84" i="12"/>
  <c r="K63" i="12"/>
  <c r="L63" i="12"/>
  <c r="N63" i="12"/>
  <c r="K55" i="12"/>
  <c r="L55" i="12"/>
  <c r="N55" i="12"/>
  <c r="K18" i="12"/>
  <c r="L18" i="12"/>
  <c r="N18" i="12"/>
  <c r="M181" i="17"/>
  <c r="H181" i="17"/>
  <c r="G181" i="17"/>
  <c r="L180" i="17"/>
  <c r="L181" i="17" s="1"/>
  <c r="J180" i="17"/>
  <c r="J181" i="17" s="1"/>
  <c r="I180" i="17"/>
  <c r="I181" i="17" s="1"/>
  <c r="L625" i="17"/>
  <c r="J625" i="17"/>
  <c r="L624" i="17"/>
  <c r="J624" i="17"/>
  <c r="L622" i="17"/>
  <c r="J622" i="17"/>
  <c r="L621" i="17"/>
  <c r="J621" i="17"/>
  <c r="L620" i="17"/>
  <c r="J620" i="17"/>
  <c r="L619" i="17"/>
  <c r="J619" i="17"/>
  <c r="L618" i="17"/>
  <c r="J618" i="17"/>
  <c r="N575" i="17"/>
  <c r="O575" i="17" s="1"/>
  <c r="L579" i="17"/>
  <c r="K579" i="17" s="1"/>
  <c r="L521" i="17"/>
  <c r="J521" i="17"/>
  <c r="L520" i="17"/>
  <c r="J520" i="17"/>
  <c r="L519" i="17"/>
  <c r="J519" i="17"/>
  <c r="J518" i="17"/>
  <c r="K518" i="17" s="1"/>
  <c r="L517" i="17"/>
  <c r="J517" i="17"/>
  <c r="L516" i="17"/>
  <c r="J516" i="17"/>
  <c r="L515" i="17"/>
  <c r="J515" i="17"/>
  <c r="L514" i="17"/>
  <c r="J514" i="17"/>
  <c r="L513" i="17"/>
  <c r="J513" i="17"/>
  <c r="L512" i="17"/>
  <c r="J512" i="17"/>
  <c r="L511" i="17"/>
  <c r="J511" i="17"/>
  <c r="K511" i="17" s="1"/>
  <c r="L480" i="17"/>
  <c r="J480" i="17"/>
  <c r="L478" i="17"/>
  <c r="J478" i="17"/>
  <c r="L477" i="17"/>
  <c r="J477" i="17"/>
  <c r="L476" i="17"/>
  <c r="J476" i="17"/>
  <c r="L475" i="17"/>
  <c r="J475" i="17"/>
  <c r="L474" i="17"/>
  <c r="J474" i="17"/>
  <c r="K474" i="17" s="1"/>
  <c r="L473" i="17"/>
  <c r="J473" i="17"/>
  <c r="L472" i="17"/>
  <c r="J472" i="17"/>
  <c r="L471" i="17"/>
  <c r="J471" i="17"/>
  <c r="L470" i="17"/>
  <c r="J470" i="17"/>
  <c r="L469" i="17"/>
  <c r="J469" i="17"/>
  <c r="L468" i="17"/>
  <c r="J468" i="17"/>
  <c r="K468" i="17" s="1"/>
  <c r="L467" i="17"/>
  <c r="J467" i="17"/>
  <c r="L466" i="17"/>
  <c r="J466" i="17"/>
  <c r="L465" i="17"/>
  <c r="J465" i="17"/>
  <c r="L464" i="17"/>
  <c r="J464" i="17"/>
  <c r="L463" i="17"/>
  <c r="J463" i="17"/>
  <c r="L462" i="17"/>
  <c r="J462" i="17"/>
  <c r="K462" i="17" s="1"/>
  <c r="L461" i="17"/>
  <c r="J461" i="17"/>
  <c r="L459" i="17"/>
  <c r="J459" i="17"/>
  <c r="L458" i="17"/>
  <c r="J458" i="17"/>
  <c r="L457" i="17"/>
  <c r="J457" i="17"/>
  <c r="L456" i="17"/>
  <c r="J456" i="17"/>
  <c r="L454" i="17"/>
  <c r="J454" i="17"/>
  <c r="K454" i="17" s="1"/>
  <c r="L453" i="17"/>
  <c r="J453" i="17"/>
  <c r="L452" i="17"/>
  <c r="J452" i="17"/>
  <c r="L451" i="17"/>
  <c r="J451" i="17"/>
  <c r="L450" i="17"/>
  <c r="J450" i="17"/>
  <c r="L446" i="17"/>
  <c r="J446" i="17"/>
  <c r="L439" i="17"/>
  <c r="J439" i="17"/>
  <c r="K439" i="17" s="1"/>
  <c r="K517" i="17" l="1"/>
  <c r="N517" i="17" s="1"/>
  <c r="O517" i="17" s="1"/>
  <c r="K456" i="17"/>
  <c r="N456" i="17" s="1"/>
  <c r="O456" i="17" s="1"/>
  <c r="K463" i="17"/>
  <c r="K469" i="17"/>
  <c r="K512" i="17"/>
  <c r="K467" i="17"/>
  <c r="N467" i="17" s="1"/>
  <c r="O467" i="17" s="1"/>
  <c r="K473" i="17"/>
  <c r="N473" i="17" s="1"/>
  <c r="O473" i="17" s="1"/>
  <c r="K480" i="17"/>
  <c r="N480" i="17" s="1"/>
  <c r="O480" i="17" s="1"/>
  <c r="K516" i="17"/>
  <c r="N516" i="17" s="1"/>
  <c r="O516" i="17" s="1"/>
  <c r="K624" i="17"/>
  <c r="N624" i="17" s="1"/>
  <c r="O624" i="17" s="1"/>
  <c r="K452" i="17"/>
  <c r="N452" i="17" s="1"/>
  <c r="O452" i="17" s="1"/>
  <c r="K459" i="17"/>
  <c r="N459" i="17" s="1"/>
  <c r="O459" i="17" s="1"/>
  <c r="K519" i="17"/>
  <c r="N519" i="17" s="1"/>
  <c r="O519" i="17" s="1"/>
  <c r="K466" i="17"/>
  <c r="N466" i="17" s="1"/>
  <c r="O466" i="17" s="1"/>
  <c r="K472" i="17"/>
  <c r="N472" i="17" s="1"/>
  <c r="O472" i="17" s="1"/>
  <c r="K515" i="17"/>
  <c r="N515" i="17" s="1"/>
  <c r="O515" i="17" s="1"/>
  <c r="K521" i="17"/>
  <c r="N521" i="17" s="1"/>
  <c r="O521" i="17" s="1"/>
  <c r="K461" i="17"/>
  <c r="N461" i="17" s="1"/>
  <c r="O461" i="17" s="1"/>
  <c r="K625" i="17"/>
  <c r="N625" i="17" s="1"/>
  <c r="O625" i="17" s="1"/>
  <c r="K450" i="17"/>
  <c r="N450" i="17" s="1"/>
  <c r="O450" i="17" s="1"/>
  <c r="K457" i="17"/>
  <c r="N457" i="17" s="1"/>
  <c r="O457" i="17" s="1"/>
  <c r="K464" i="17"/>
  <c r="N464" i="17" s="1"/>
  <c r="O464" i="17" s="1"/>
  <c r="K470" i="17"/>
  <c r="N470" i="17" s="1"/>
  <c r="O470" i="17" s="1"/>
  <c r="K476" i="17"/>
  <c r="N476" i="17" s="1"/>
  <c r="O476" i="17" s="1"/>
  <c r="K513" i="17"/>
  <c r="N513" i="17" s="1"/>
  <c r="O513" i="17" s="1"/>
  <c r="K451" i="17"/>
  <c r="N451" i="17" s="1"/>
  <c r="O451" i="17" s="1"/>
  <c r="K458" i="17"/>
  <c r="N458" i="17" s="1"/>
  <c r="O458" i="17" s="1"/>
  <c r="K465" i="17"/>
  <c r="N465" i="17" s="1"/>
  <c r="O465" i="17" s="1"/>
  <c r="K477" i="17"/>
  <c r="N477" i="17" s="1"/>
  <c r="O477" i="17" s="1"/>
  <c r="K514" i="17"/>
  <c r="N514" i="17" s="1"/>
  <c r="O514" i="17" s="1"/>
  <c r="N439" i="17"/>
  <c r="O439" i="17" s="1"/>
  <c r="N468" i="17"/>
  <c r="O468" i="17" s="1"/>
  <c r="N454" i="17"/>
  <c r="O454" i="17" s="1"/>
  <c r="K262" i="12"/>
  <c r="L262" i="12"/>
  <c r="N579" i="17"/>
  <c r="O579" i="17" s="1"/>
  <c r="L598" i="17"/>
  <c r="N262" i="12"/>
  <c r="N446" i="17"/>
  <c r="O446" i="17" s="1"/>
  <c r="N463" i="17"/>
  <c r="O463" i="17" s="1"/>
  <c r="N469" i="17"/>
  <c r="O469" i="17" s="1"/>
  <c r="N475" i="17"/>
  <c r="O475" i="17" s="1"/>
  <c r="N512" i="17"/>
  <c r="O512" i="17" s="1"/>
  <c r="N511" i="17"/>
  <c r="O511" i="17" s="1"/>
  <c r="N478" i="17"/>
  <c r="O478" i="17" s="1"/>
  <c r="N453" i="17"/>
  <c r="O453" i="17" s="1"/>
  <c r="K621" i="17"/>
  <c r="N621" i="17" s="1"/>
  <c r="O621" i="17" s="1"/>
  <c r="N471" i="17"/>
  <c r="O471" i="17" s="1"/>
  <c r="N520" i="17"/>
  <c r="O520" i="17" s="1"/>
  <c r="N462" i="17"/>
  <c r="O462" i="17" s="1"/>
  <c r="N620" i="17"/>
  <c r="O620" i="17" s="1"/>
  <c r="N618" i="17"/>
  <c r="O618" i="17" s="1"/>
  <c r="N223" i="12"/>
  <c r="K223" i="12"/>
  <c r="L223" i="12"/>
  <c r="N518" i="17"/>
  <c r="O518" i="17" s="1"/>
  <c r="K622" i="17"/>
  <c r="N622" i="17" s="1"/>
  <c r="O622" i="17" s="1"/>
  <c r="N619" i="17"/>
  <c r="O619" i="17" s="1"/>
  <c r="N37" i="11"/>
  <c r="L34" i="14"/>
  <c r="M180" i="12"/>
  <c r="P180" i="12" s="1"/>
  <c r="Q180" i="12" s="1"/>
  <c r="M184" i="12"/>
  <c r="P184" i="12" s="1"/>
  <c r="Q184" i="12" s="1"/>
  <c r="M192" i="12"/>
  <c r="P192" i="12" s="1"/>
  <c r="Q192" i="12" s="1"/>
  <c r="M197" i="12"/>
  <c r="P197" i="12" s="1"/>
  <c r="Q197" i="12" s="1"/>
  <c r="M182" i="12"/>
  <c r="P182" i="12" s="1"/>
  <c r="Q182" i="12" s="1"/>
  <c r="M240" i="12"/>
  <c r="P240" i="12" s="1"/>
  <c r="P241" i="12" s="1"/>
  <c r="K30" i="14"/>
  <c r="L28" i="14"/>
  <c r="N39" i="11"/>
  <c r="N38" i="11"/>
  <c r="M189" i="12"/>
  <c r="P189" i="12" s="1"/>
  <c r="Q189" i="12" s="1"/>
  <c r="M191" i="12"/>
  <c r="P191" i="12" s="1"/>
  <c r="Q191" i="12" s="1"/>
  <c r="M181" i="12"/>
  <c r="P181" i="12" s="1"/>
  <c r="Q181" i="12" s="1"/>
  <c r="M190" i="12"/>
  <c r="P190" i="12" s="1"/>
  <c r="Q190" i="12" s="1"/>
  <c r="M193" i="12"/>
  <c r="P193" i="12" s="1"/>
  <c r="Q193" i="12" s="1"/>
  <c r="M187" i="12"/>
  <c r="P187" i="12" s="1"/>
  <c r="Q187" i="12" s="1"/>
  <c r="M186" i="12"/>
  <c r="P186" i="12" s="1"/>
  <c r="Q186" i="12" s="1"/>
  <c r="M185" i="12"/>
  <c r="P185" i="12" s="1"/>
  <c r="Q185" i="12" s="1"/>
  <c r="M195" i="12"/>
  <c r="P195" i="12" s="1"/>
  <c r="Q195" i="12" s="1"/>
  <c r="M179" i="12"/>
  <c r="M188" i="12"/>
  <c r="P188" i="12" s="1"/>
  <c r="Q188" i="12" s="1"/>
  <c r="M183" i="12"/>
  <c r="P183" i="12" s="1"/>
  <c r="Q183" i="12" s="1"/>
  <c r="M194" i="12"/>
  <c r="P194" i="12" s="1"/>
  <c r="Q194" i="12" s="1"/>
  <c r="M196" i="12"/>
  <c r="P196" i="12" s="1"/>
  <c r="Q196" i="12" s="1"/>
  <c r="M264" i="12"/>
  <c r="P264" i="12" s="1"/>
  <c r="N241" i="12"/>
  <c r="L265" i="12"/>
  <c r="K241" i="12"/>
  <c r="M244" i="12"/>
  <c r="P244" i="12" s="1"/>
  <c r="Q244" i="12" s="1"/>
  <c r="M260" i="12"/>
  <c r="P260" i="12" s="1"/>
  <c r="Q260" i="12" s="1"/>
  <c r="M243" i="12"/>
  <c r="M159" i="12"/>
  <c r="P159" i="12" s="1"/>
  <c r="M142" i="12"/>
  <c r="L160" i="12"/>
  <c r="M68" i="12"/>
  <c r="P68" i="12" s="1"/>
  <c r="Q68" i="12" s="1"/>
  <c r="M39" i="12"/>
  <c r="M41" i="12" s="1"/>
  <c r="M133" i="12"/>
  <c r="M134" i="12" s="1"/>
  <c r="M114" i="12"/>
  <c r="N42" i="11"/>
  <c r="N43" i="11"/>
  <c r="N41" i="11"/>
  <c r="N48" i="11"/>
  <c r="N40" i="11"/>
  <c r="L29" i="14"/>
  <c r="L114" i="12"/>
  <c r="M84" i="12"/>
  <c r="P84" i="12" s="1"/>
  <c r="Q84" i="12" s="1"/>
  <c r="M63" i="12"/>
  <c r="P63" i="12" s="1"/>
  <c r="Q63" i="12" s="1"/>
  <c r="M55" i="12"/>
  <c r="M18" i="12"/>
  <c r="K180" i="17"/>
  <c r="N180" i="17" s="1"/>
  <c r="O180" i="17" s="1"/>
  <c r="O181" i="17" s="1"/>
  <c r="N574" i="17"/>
  <c r="O574" i="17" s="1"/>
  <c r="N562" i="17"/>
  <c r="O562" i="17" s="1"/>
  <c r="N565" i="17"/>
  <c r="O565" i="17" s="1"/>
  <c r="N566" i="17"/>
  <c r="O566" i="17" s="1"/>
  <c r="N567" i="17"/>
  <c r="O567" i="17" s="1"/>
  <c r="N570" i="17"/>
  <c r="O570" i="17" s="1"/>
  <c r="N568" i="17"/>
  <c r="O568" i="17" s="1"/>
  <c r="N569" i="17"/>
  <c r="O569" i="17" s="1"/>
  <c r="N572" i="17"/>
  <c r="O572" i="17" s="1"/>
  <c r="N573" i="17"/>
  <c r="O573" i="17" s="1"/>
  <c r="N576" i="17"/>
  <c r="O576" i="17" s="1"/>
  <c r="N577" i="17"/>
  <c r="O577" i="17" s="1"/>
  <c r="N578" i="17"/>
  <c r="O578" i="17" s="1"/>
  <c r="N561" i="17"/>
  <c r="O561" i="17" s="1"/>
  <c r="N560" i="17"/>
  <c r="O560" i="17" s="1"/>
  <c r="N559" i="17"/>
  <c r="O559" i="17" s="1"/>
  <c r="N558" i="17"/>
  <c r="O558" i="17" s="1"/>
  <c r="N557" i="17"/>
  <c r="O557" i="17" s="1"/>
  <c r="N556" i="17"/>
  <c r="O556" i="17" s="1"/>
  <c r="N548" i="17"/>
  <c r="O548" i="17" s="1"/>
  <c r="N553" i="17"/>
  <c r="O553" i="17" s="1"/>
  <c r="N555" i="17"/>
  <c r="O555" i="17" s="1"/>
  <c r="N552" i="17"/>
  <c r="O552" i="17" s="1"/>
  <c r="N551" i="17"/>
  <c r="O551" i="17" s="1"/>
  <c r="N550" i="17"/>
  <c r="O550" i="17" s="1"/>
  <c r="N547" i="17"/>
  <c r="O547" i="17" s="1"/>
  <c r="N546" i="17"/>
  <c r="O546" i="17" s="1"/>
  <c r="N542" i="17"/>
  <c r="O542" i="17" s="1"/>
  <c r="N474" i="17"/>
  <c r="O474" i="17" s="1"/>
  <c r="M34" i="14" l="1"/>
  <c r="P34" i="14" s="1"/>
  <c r="M262" i="12"/>
  <c r="P243" i="12"/>
  <c r="P262" i="12" s="1"/>
  <c r="M223" i="12"/>
  <c r="M241" i="12"/>
  <c r="P142" i="12"/>
  <c r="M146" i="12"/>
  <c r="L30" i="14"/>
  <c r="P28" i="14"/>
  <c r="P179" i="12"/>
  <c r="P223" i="12" s="1"/>
  <c r="M265" i="12"/>
  <c r="P265" i="12"/>
  <c r="Q264" i="12"/>
  <c r="Q265" i="12" s="1"/>
  <c r="Q240" i="12"/>
  <c r="Q241" i="12" s="1"/>
  <c r="M160" i="12"/>
  <c r="P160" i="12"/>
  <c r="Q159" i="12"/>
  <c r="Q160" i="12" s="1"/>
  <c r="P39" i="12"/>
  <c r="P41" i="12" s="1"/>
  <c r="P133" i="12"/>
  <c r="P134" i="12" s="1"/>
  <c r="P113" i="12"/>
  <c r="Q113" i="12" s="1"/>
  <c r="Q114" i="12" s="1"/>
  <c r="P18" i="12"/>
  <c r="P55" i="12"/>
  <c r="M29" i="14"/>
  <c r="M30" i="14" s="1"/>
  <c r="N181" i="17"/>
  <c r="K181" i="17"/>
  <c r="Q243" i="12" l="1"/>
  <c r="Q262" i="12" s="1"/>
  <c r="Q142" i="12"/>
  <c r="Q28" i="14"/>
  <c r="P29" i="14"/>
  <c r="P30" i="14" s="1"/>
  <c r="Q34" i="14"/>
  <c r="Q179" i="12"/>
  <c r="Q223" i="12" s="1"/>
  <c r="P114" i="12"/>
  <c r="Q39" i="12"/>
  <c r="Q41" i="12" s="1"/>
  <c r="Q133" i="12"/>
  <c r="Q134" i="12" s="1"/>
  <c r="Q55" i="12"/>
  <c r="Q18" i="12"/>
  <c r="L510" i="17"/>
  <c r="J510" i="17"/>
  <c r="L509" i="17"/>
  <c r="J509" i="17"/>
  <c r="L508" i="17"/>
  <c r="J508" i="17"/>
  <c r="J389" i="17"/>
  <c r="K389" i="17" s="1"/>
  <c r="J390" i="17"/>
  <c r="K390" i="17" s="1"/>
  <c r="J394" i="17"/>
  <c r="K394" i="17" s="1"/>
  <c r="J396" i="17"/>
  <c r="K396" i="17" s="1"/>
  <c r="J397" i="17"/>
  <c r="K397" i="17" s="1"/>
  <c r="J400" i="17"/>
  <c r="K400" i="17" s="1"/>
  <c r="J399" i="17"/>
  <c r="K399" i="17" s="1"/>
  <c r="J401" i="17"/>
  <c r="J402" i="17"/>
  <c r="K402" i="17" s="1"/>
  <c r="L404" i="17"/>
  <c r="L406" i="17" s="1"/>
  <c r="J404" i="17"/>
  <c r="H386" i="17"/>
  <c r="M386" i="17"/>
  <c r="G386" i="17"/>
  <c r="L371" i="17"/>
  <c r="J371" i="17"/>
  <c r="L370" i="17"/>
  <c r="J370" i="17"/>
  <c r="L365" i="17"/>
  <c r="J365" i="17"/>
  <c r="L364" i="17"/>
  <c r="J364" i="17"/>
  <c r="L363" i="17"/>
  <c r="J363" i="17"/>
  <c r="L361" i="17"/>
  <c r="J361" i="17"/>
  <c r="H350" i="17"/>
  <c r="M350" i="17"/>
  <c r="G350" i="17"/>
  <c r="N346" i="17"/>
  <c r="O346" i="17" s="1"/>
  <c r="H336" i="17"/>
  <c r="M336" i="17"/>
  <c r="G336" i="17"/>
  <c r="J335" i="17"/>
  <c r="H330" i="17"/>
  <c r="M330" i="17"/>
  <c r="G330" i="17"/>
  <c r="L325" i="17"/>
  <c r="J325" i="17"/>
  <c r="L324" i="17"/>
  <c r="J324" i="17"/>
  <c r="L323" i="17"/>
  <c r="J323" i="17"/>
  <c r="L322" i="17"/>
  <c r="J322" i="17"/>
  <c r="I322" i="17"/>
  <c r="L329" i="17"/>
  <c r="J329" i="17"/>
  <c r="L328" i="17"/>
  <c r="J328" i="17"/>
  <c r="L316" i="17"/>
  <c r="J316" i="17"/>
  <c r="L317" i="17"/>
  <c r="J317" i="17"/>
  <c r="L315" i="17"/>
  <c r="J315" i="17"/>
  <c r="L314" i="17"/>
  <c r="J314" i="17"/>
  <c r="L310" i="17"/>
  <c r="J310" i="17"/>
  <c r="H283" i="17"/>
  <c r="M283" i="17"/>
  <c r="L282" i="17"/>
  <c r="J282" i="17"/>
  <c r="L281" i="17"/>
  <c r="J281" i="17"/>
  <c r="L280" i="17"/>
  <c r="J280" i="17"/>
  <c r="I280" i="17"/>
  <c r="L277" i="17"/>
  <c r="J277" i="17"/>
  <c r="L272" i="17"/>
  <c r="J272" i="17"/>
  <c r="N270" i="17"/>
  <c r="O270" i="17" s="1"/>
  <c r="I270" i="17"/>
  <c r="L271" i="17"/>
  <c r="J271" i="17"/>
  <c r="L262" i="17"/>
  <c r="J262" i="17"/>
  <c r="L260" i="17"/>
  <c r="J260" i="17"/>
  <c r="L258" i="17"/>
  <c r="J258" i="17"/>
  <c r="I258" i="17"/>
  <c r="H256" i="17"/>
  <c r="K256" i="17"/>
  <c r="M256" i="17"/>
  <c r="G256" i="17"/>
  <c r="L253" i="17"/>
  <c r="J253" i="17"/>
  <c r="I253" i="17"/>
  <c r="L249" i="17"/>
  <c r="J249" i="17"/>
  <c r="J240" i="17"/>
  <c r="L240" i="17"/>
  <c r="J236" i="17"/>
  <c r="J237" i="17" s="1"/>
  <c r="M237" i="17"/>
  <c r="H237" i="17"/>
  <c r="G237" i="17"/>
  <c r="L236" i="17"/>
  <c r="L237" i="17" s="1"/>
  <c r="I236" i="17"/>
  <c r="I237" i="17" s="1"/>
  <c r="L229" i="17"/>
  <c r="J229" i="17"/>
  <c r="L227" i="17"/>
  <c r="J227" i="17"/>
  <c r="L224" i="17"/>
  <c r="J224" i="17"/>
  <c r="L223" i="17"/>
  <c r="J223" i="17"/>
  <c r="L206" i="17"/>
  <c r="L201" i="17"/>
  <c r="L176" i="17"/>
  <c r="J176" i="17"/>
  <c r="K324" i="17" l="1"/>
  <c r="N324" i="17" s="1"/>
  <c r="O324" i="17" s="1"/>
  <c r="K325" i="17"/>
  <c r="N325" i="17" s="1"/>
  <c r="O325" i="17" s="1"/>
  <c r="K328" i="17"/>
  <c r="N328" i="17" s="1"/>
  <c r="O328" i="17" s="1"/>
  <c r="K510" i="17"/>
  <c r="N510" i="17" s="1"/>
  <c r="O510" i="17" s="1"/>
  <c r="K508" i="17"/>
  <c r="N508" i="17" s="1"/>
  <c r="O508" i="17" s="1"/>
  <c r="K314" i="17"/>
  <c r="N314" i="17" s="1"/>
  <c r="O314" i="17" s="1"/>
  <c r="K509" i="17"/>
  <c r="N509" i="17" s="1"/>
  <c r="O509" i="17" s="1"/>
  <c r="K329" i="17"/>
  <c r="N329" i="17" s="1"/>
  <c r="O329" i="17" s="1"/>
  <c r="K317" i="17"/>
  <c r="N317" i="17" s="1"/>
  <c r="O317" i="17" s="1"/>
  <c r="K323" i="17"/>
  <c r="N323" i="17" s="1"/>
  <c r="O323" i="17" s="1"/>
  <c r="K315" i="17"/>
  <c r="N315" i="17" s="1"/>
  <c r="O315" i="17" s="1"/>
  <c r="K316" i="17"/>
  <c r="N316" i="17" s="1"/>
  <c r="O316" i="17" s="1"/>
  <c r="K404" i="17"/>
  <c r="N404" i="17" s="1"/>
  <c r="O404" i="17" s="1"/>
  <c r="K354" i="17"/>
  <c r="K310" i="17"/>
  <c r="N310" i="17" s="1"/>
  <c r="O310" i="17" s="1"/>
  <c r="I426" i="17"/>
  <c r="J426" i="17"/>
  <c r="L426" i="17"/>
  <c r="Q29" i="14"/>
  <c r="Q30" i="14" s="1"/>
  <c r="N425" i="17"/>
  <c r="O425" i="17" s="1"/>
  <c r="N389" i="17"/>
  <c r="O389" i="17" s="1"/>
  <c r="N390" i="17"/>
  <c r="O390" i="17" s="1"/>
  <c r="N397" i="17"/>
  <c r="O397" i="17" s="1"/>
  <c r="N394" i="17"/>
  <c r="O394" i="17" s="1"/>
  <c r="N396" i="17"/>
  <c r="O396" i="17" s="1"/>
  <c r="N400" i="17"/>
  <c r="O400" i="17" s="1"/>
  <c r="N402" i="17"/>
  <c r="O402" i="17" s="1"/>
  <c r="N399" i="17"/>
  <c r="O399" i="17" s="1"/>
  <c r="N401" i="17"/>
  <c r="O401" i="17" s="1"/>
  <c r="K371" i="17"/>
  <c r="N371" i="17" s="1"/>
  <c r="O371" i="17" s="1"/>
  <c r="K370" i="17"/>
  <c r="N370" i="17" s="1"/>
  <c r="O370" i="17" s="1"/>
  <c r="K365" i="17"/>
  <c r="N365" i="17" s="1"/>
  <c r="O365" i="17" s="1"/>
  <c r="K364" i="17"/>
  <c r="N364" i="17" s="1"/>
  <c r="O364" i="17" s="1"/>
  <c r="K363" i="17"/>
  <c r="N363" i="17" s="1"/>
  <c r="O363" i="17" s="1"/>
  <c r="K361" i="17"/>
  <c r="N341" i="17"/>
  <c r="O341" i="17" s="1"/>
  <c r="N345" i="17"/>
  <c r="O345" i="17" s="1"/>
  <c r="N344" i="17"/>
  <c r="O344" i="17" s="1"/>
  <c r="N343" i="17"/>
  <c r="O343" i="17" s="1"/>
  <c r="K335" i="17"/>
  <c r="N335" i="17" s="1"/>
  <c r="O335" i="17" s="1"/>
  <c r="K322" i="17"/>
  <c r="K280" i="17"/>
  <c r="N280" i="17" s="1"/>
  <c r="N281" i="17"/>
  <c r="O281" i="17" s="1"/>
  <c r="K282" i="17"/>
  <c r="N282" i="17" s="1"/>
  <c r="O282" i="17" s="1"/>
  <c r="N253" i="17"/>
  <c r="O253" i="17" s="1"/>
  <c r="K277" i="17"/>
  <c r="K272" i="17"/>
  <c r="N272" i="17" s="1"/>
  <c r="O272" i="17" s="1"/>
  <c r="K271" i="17"/>
  <c r="N271" i="17" s="1"/>
  <c r="O271" i="17" s="1"/>
  <c r="K262" i="17"/>
  <c r="N262" i="17" s="1"/>
  <c r="O262" i="17" s="1"/>
  <c r="K260" i="17"/>
  <c r="N260" i="17" s="1"/>
  <c r="O260" i="17" s="1"/>
  <c r="K258" i="17"/>
  <c r="N258" i="17" s="1"/>
  <c r="O258" i="17" s="1"/>
  <c r="K249" i="17"/>
  <c r="N249" i="17" s="1"/>
  <c r="O249" i="17" s="1"/>
  <c r="K227" i="17"/>
  <c r="N227" i="17" s="1"/>
  <c r="O227" i="17" s="1"/>
  <c r="K240" i="17"/>
  <c r="N240" i="17" s="1"/>
  <c r="O240" i="17" s="1"/>
  <c r="K237" i="17"/>
  <c r="K229" i="17"/>
  <c r="N229" i="17" s="1"/>
  <c r="O229" i="17" s="1"/>
  <c r="K224" i="17"/>
  <c r="N224" i="17" s="1"/>
  <c r="O224" i="17" s="1"/>
  <c r="K223" i="17"/>
  <c r="N223" i="17" s="1"/>
  <c r="O223" i="17" s="1"/>
  <c r="K206" i="17"/>
  <c r="N206" i="17" s="1"/>
  <c r="O206" i="17" s="1"/>
  <c r="N201" i="17"/>
  <c r="O201" i="17" s="1"/>
  <c r="K176" i="17"/>
  <c r="N176" i="17" s="1"/>
  <c r="O176" i="17" s="1"/>
  <c r="K84" i="17"/>
  <c r="N84" i="17" s="1"/>
  <c r="O84" i="17" s="1"/>
  <c r="L69" i="17"/>
  <c r="J69" i="17"/>
  <c r="L64" i="17"/>
  <c r="J64" i="17"/>
  <c r="H56" i="17"/>
  <c r="M56" i="17"/>
  <c r="L55" i="17"/>
  <c r="J55" i="17"/>
  <c r="I48" i="17"/>
  <c r="J48" i="17"/>
  <c r="L48" i="17"/>
  <c r="N354" i="17" l="1"/>
  <c r="O354" i="17" s="1"/>
  <c r="K48" i="17"/>
  <c r="N277" i="17"/>
  <c r="N361" i="17"/>
  <c r="N415" i="17"/>
  <c r="O415" i="17" s="1"/>
  <c r="O426" i="17" s="1"/>
  <c r="K426" i="17"/>
  <c r="N322" i="17"/>
  <c r="O280" i="17"/>
  <c r="N236" i="17"/>
  <c r="N237" i="17" s="1"/>
  <c r="K83" i="17"/>
  <c r="N83" i="17" s="1"/>
  <c r="O83" i="17" s="1"/>
  <c r="N69" i="17"/>
  <c r="K82" i="17"/>
  <c r="N82" i="17" s="1"/>
  <c r="O82" i="17" s="1"/>
  <c r="K81" i="17"/>
  <c r="N81" i="17" s="1"/>
  <c r="O81" i="17" s="1"/>
  <c r="K64" i="17"/>
  <c r="N64" i="17" s="1"/>
  <c r="O64" i="17" s="1"/>
  <c r="N55" i="17"/>
  <c r="O55" i="17" s="1"/>
  <c r="O277" i="17" l="1"/>
  <c r="O361" i="17"/>
  <c r="N426" i="17"/>
  <c r="O69" i="17"/>
  <c r="O322" i="17"/>
  <c r="O236" i="17"/>
  <c r="O237" i="17" s="1"/>
  <c r="N48" i="17"/>
  <c r="O48" i="17" l="1"/>
  <c r="L40" i="17" l="1"/>
  <c r="J40" i="17"/>
  <c r="L41" i="17"/>
  <c r="J41" i="17"/>
  <c r="L33" i="17"/>
  <c r="J33" i="17"/>
  <c r="L28" i="17"/>
  <c r="L29" i="17" s="1"/>
  <c r="J28" i="17"/>
  <c r="L481" i="17"/>
  <c r="J481" i="17"/>
  <c r="L479" i="17"/>
  <c r="J479" i="17"/>
  <c r="L460" i="17"/>
  <c r="J460" i="17"/>
  <c r="L455" i="17"/>
  <c r="J455" i="17"/>
  <c r="H100" i="11"/>
  <c r="H87" i="11"/>
  <c r="N87" i="11" s="1"/>
  <c r="H75" i="11"/>
  <c r="M75" i="11"/>
  <c r="N75" i="11" s="1"/>
  <c r="H72" i="11"/>
  <c r="M72" i="11"/>
  <c r="N72" i="11" s="1"/>
  <c r="H73" i="11"/>
  <c r="M73" i="11"/>
  <c r="N73" i="11" s="1"/>
  <c r="H71" i="11"/>
  <c r="N71" i="11" s="1"/>
  <c r="G66" i="11"/>
  <c r="I66" i="11"/>
  <c r="J66" i="11"/>
  <c r="K66" i="11"/>
  <c r="L66" i="11"/>
  <c r="F66" i="11"/>
  <c r="M51" i="11"/>
  <c r="H51" i="11"/>
  <c r="G49" i="11"/>
  <c r="I49" i="11"/>
  <c r="J49" i="11"/>
  <c r="K49" i="11"/>
  <c r="L49" i="11"/>
  <c r="F49" i="11"/>
  <c r="M12" i="11"/>
  <c r="N12" i="11" s="1"/>
  <c r="M11" i="11"/>
  <c r="M33" i="11" s="1"/>
  <c r="L23" i="12"/>
  <c r="K23" i="12"/>
  <c r="O163" i="12"/>
  <c r="J163" i="12"/>
  <c r="I163" i="12"/>
  <c r="N162" i="12"/>
  <c r="N163" i="12" s="1"/>
  <c r="L162" i="12"/>
  <c r="K162" i="12"/>
  <c r="K163" i="12" s="1"/>
  <c r="N148" i="12"/>
  <c r="N151" i="12" s="1"/>
  <c r="L148" i="12"/>
  <c r="L151" i="12" s="1"/>
  <c r="K148" i="12"/>
  <c r="K151" i="12" s="1"/>
  <c r="N88" i="12"/>
  <c r="N89" i="12" s="1"/>
  <c r="L88" i="12"/>
  <c r="K88" i="12"/>
  <c r="K89" i="12" s="1"/>
  <c r="N71" i="12"/>
  <c r="L71" i="12"/>
  <c r="K71" i="12"/>
  <c r="I380" i="17"/>
  <c r="J380" i="17"/>
  <c r="L380" i="17"/>
  <c r="L385" i="17"/>
  <c r="J385" i="17"/>
  <c r="K455" i="17" l="1"/>
  <c r="K479" i="17"/>
  <c r="K41" i="17"/>
  <c r="N41" i="17" s="1"/>
  <c r="O41" i="17" s="1"/>
  <c r="K460" i="17"/>
  <c r="N460" i="17" s="1"/>
  <c r="O460" i="17" s="1"/>
  <c r="J29" i="17"/>
  <c r="N28" i="17"/>
  <c r="N29" i="17" s="1"/>
  <c r="K40" i="17"/>
  <c r="N40" i="17" s="1"/>
  <c r="O40" i="17" s="1"/>
  <c r="L89" i="12"/>
  <c r="M88" i="12"/>
  <c r="M89" i="12" s="1"/>
  <c r="N481" i="17"/>
  <c r="O481" i="17" s="1"/>
  <c r="N455" i="17"/>
  <c r="O455" i="17" s="1"/>
  <c r="N479" i="17"/>
  <c r="O479" i="17" s="1"/>
  <c r="M148" i="12"/>
  <c r="M151" i="12" s="1"/>
  <c r="I386" i="17"/>
  <c r="J386" i="17"/>
  <c r="L386" i="17"/>
  <c r="N33" i="17"/>
  <c r="O33" i="17" s="1"/>
  <c r="K385" i="17"/>
  <c r="N385" i="17" s="1"/>
  <c r="O385" i="17" s="1"/>
  <c r="K380" i="17"/>
  <c r="N51" i="11"/>
  <c r="N11" i="11"/>
  <c r="N33" i="11" s="1"/>
  <c r="M162" i="12"/>
  <c r="P162" i="12" s="1"/>
  <c r="L163" i="12"/>
  <c r="M71" i="12"/>
  <c r="O28" i="17" l="1"/>
  <c r="O29" i="17" s="1"/>
  <c r="P71" i="12"/>
  <c r="P148" i="12"/>
  <c r="M163" i="12"/>
  <c r="N380" i="17"/>
  <c r="K386" i="17"/>
  <c r="P163" i="12"/>
  <c r="Q162" i="12"/>
  <c r="Q163" i="12" s="1"/>
  <c r="P88" i="12"/>
  <c r="P89" i="12" s="1"/>
  <c r="Q148" i="12" l="1"/>
  <c r="Q151" i="12" s="1"/>
  <c r="P151" i="12"/>
  <c r="Q71" i="12"/>
  <c r="O380" i="17"/>
  <c r="O386" i="17" s="1"/>
  <c r="N386" i="17"/>
  <c r="Q88" i="12"/>
  <c r="Q89" i="12" s="1"/>
  <c r="G627" i="17" l="1"/>
  <c r="L522" i="17"/>
  <c r="J522" i="17"/>
  <c r="J393" i="17"/>
  <c r="K393" i="17" s="1"/>
  <c r="J392" i="17"/>
  <c r="K392" i="17" s="1"/>
  <c r="L362" i="17"/>
  <c r="J362" i="17"/>
  <c r="L366" i="17"/>
  <c r="J366" i="17"/>
  <c r="J349" i="17"/>
  <c r="K349" i="17" s="1"/>
  <c r="J333" i="17"/>
  <c r="L326" i="17"/>
  <c r="J326" i="17"/>
  <c r="G320" i="17"/>
  <c r="L319" i="17"/>
  <c r="J319" i="17"/>
  <c r="K319" i="17" s="1"/>
  <c r="L313" i="17"/>
  <c r="J313" i="17"/>
  <c r="I313" i="17"/>
  <c r="H311" i="17"/>
  <c r="M311" i="17"/>
  <c r="G311" i="17"/>
  <c r="I296" i="17"/>
  <c r="J296" i="17"/>
  <c r="L296" i="17"/>
  <c r="H264" i="17"/>
  <c r="M264" i="17"/>
  <c r="G264" i="17"/>
  <c r="L255" i="17"/>
  <c r="L256" i="17" s="1"/>
  <c r="J255" i="17"/>
  <c r="J256" i="17" s="1"/>
  <c r="I256" i="17"/>
  <c r="G231" i="17"/>
  <c r="H231" i="17"/>
  <c r="M231" i="17"/>
  <c r="L228" i="17"/>
  <c r="J228" i="17"/>
  <c r="K226" i="17"/>
  <c r="N226" i="17" s="1"/>
  <c r="O226" i="17" s="1"/>
  <c r="L225" i="17"/>
  <c r="J225" i="17"/>
  <c r="I220" i="17"/>
  <c r="J220" i="17"/>
  <c r="L220" i="17"/>
  <c r="L216" i="17"/>
  <c r="L218" i="17" s="1"/>
  <c r="J216" i="17"/>
  <c r="I216" i="17"/>
  <c r="I218" i="17" s="1"/>
  <c r="L184" i="17"/>
  <c r="H178" i="17"/>
  <c r="M178" i="17"/>
  <c r="G178" i="17"/>
  <c r="L70" i="17"/>
  <c r="J70" i="17"/>
  <c r="I70" i="17"/>
  <c r="H65" i="17"/>
  <c r="M65" i="17"/>
  <c r="G65" i="17"/>
  <c r="L63" i="17"/>
  <c r="J63" i="17"/>
  <c r="I58" i="17"/>
  <c r="J58" i="17"/>
  <c r="L58" i="17"/>
  <c r="K522" i="17" l="1"/>
  <c r="N522" i="17" s="1"/>
  <c r="O522" i="17" s="1"/>
  <c r="J218" i="17"/>
  <c r="K216" i="17"/>
  <c r="N353" i="17"/>
  <c r="N319" i="17"/>
  <c r="O319" i="17" s="1"/>
  <c r="I367" i="17"/>
  <c r="J367" i="17"/>
  <c r="L367" i="17"/>
  <c r="N607" i="17"/>
  <c r="O607" i="17" s="1"/>
  <c r="N563" i="17"/>
  <c r="O563" i="17" s="1"/>
  <c r="N571" i="17"/>
  <c r="O571" i="17" s="1"/>
  <c r="N554" i="17"/>
  <c r="O554" i="17" s="1"/>
  <c r="N549" i="17"/>
  <c r="O549" i="17" s="1"/>
  <c r="N541" i="17"/>
  <c r="O541" i="17" s="1"/>
  <c r="N393" i="17"/>
  <c r="O393" i="17" s="1"/>
  <c r="N392" i="17"/>
  <c r="O392" i="17" s="1"/>
  <c r="O355" i="17"/>
  <c r="K362" i="17"/>
  <c r="K366" i="17"/>
  <c r="N366" i="17" s="1"/>
  <c r="O366" i="17" s="1"/>
  <c r="N349" i="17"/>
  <c r="O349" i="17" s="1"/>
  <c r="K333" i="17"/>
  <c r="N333" i="17" s="1"/>
  <c r="O333" i="17" s="1"/>
  <c r="K313" i="17"/>
  <c r="N255" i="17"/>
  <c r="K228" i="17"/>
  <c r="N228" i="17" s="1"/>
  <c r="O228" i="17" s="1"/>
  <c r="K220" i="17"/>
  <c r="K225" i="17"/>
  <c r="N225" i="17" s="1"/>
  <c r="O225" i="17" s="1"/>
  <c r="K184" i="17"/>
  <c r="N184" i="17" s="1"/>
  <c r="O184" i="17" s="1"/>
  <c r="K80" i="17"/>
  <c r="N80" i="17" s="1"/>
  <c r="O80" i="17" s="1"/>
  <c r="K77" i="17"/>
  <c r="N77" i="17" s="1"/>
  <c r="O77" i="17" s="1"/>
  <c r="K78" i="17"/>
  <c r="N78" i="17" s="1"/>
  <c r="O78" i="17" s="1"/>
  <c r="K79" i="17"/>
  <c r="N79" i="17" s="1"/>
  <c r="O79" i="17" s="1"/>
  <c r="K70" i="17"/>
  <c r="K58" i="17"/>
  <c r="K63" i="17"/>
  <c r="N63" i="17" s="1"/>
  <c r="O63" i="17" s="1"/>
  <c r="K367" i="17" l="1"/>
  <c r="N216" i="17"/>
  <c r="N218" i="17" s="1"/>
  <c r="K218" i="17"/>
  <c r="N313" i="17"/>
  <c r="O313" i="17" s="1"/>
  <c r="N326" i="17"/>
  <c r="O255" i="17"/>
  <c r="O256" i="17" s="1"/>
  <c r="N256" i="17"/>
  <c r="N362" i="17"/>
  <c r="N367" i="17" s="1"/>
  <c r="N296" i="17"/>
  <c r="N220" i="17"/>
  <c r="N70" i="17"/>
  <c r="N58" i="17"/>
  <c r="O216" i="17" l="1"/>
  <c r="O218" i="17" s="1"/>
  <c r="O326" i="17"/>
  <c r="O70" i="17"/>
  <c r="O362" i="17"/>
  <c r="O367" i="17" s="1"/>
  <c r="O353" i="17"/>
  <c r="O296" i="17"/>
  <c r="O220" i="17"/>
  <c r="O58" i="17"/>
  <c r="L56" i="17" l="1"/>
  <c r="I56" i="17"/>
  <c r="G37" i="17"/>
  <c r="N35" i="14"/>
  <c r="K35" i="14"/>
  <c r="M66" i="11"/>
  <c r="M36" i="11"/>
  <c r="H35" i="11"/>
  <c r="M35" i="11"/>
  <c r="H68" i="11"/>
  <c r="M68" i="11"/>
  <c r="H69" i="11"/>
  <c r="M69" i="11"/>
  <c r="N69" i="11" s="1"/>
  <c r="H70" i="11"/>
  <c r="M70" i="11"/>
  <c r="N70" i="11" s="1"/>
  <c r="J56" i="17" l="1"/>
  <c r="K56" i="17"/>
  <c r="M113" i="11"/>
  <c r="H113" i="11"/>
  <c r="L35" i="14"/>
  <c r="N68" i="11"/>
  <c r="N113" i="11" s="1"/>
  <c r="H66" i="11"/>
  <c r="N66" i="11"/>
  <c r="N36" i="11"/>
  <c r="N35" i="11"/>
  <c r="M35" i="14" l="1"/>
  <c r="J67" i="14"/>
  <c r="O67" i="14"/>
  <c r="J61" i="14"/>
  <c r="O61" i="14"/>
  <c r="J47" i="14"/>
  <c r="O47" i="14"/>
  <c r="J44" i="14"/>
  <c r="O44" i="14"/>
  <c r="J41" i="14"/>
  <c r="O41" i="14"/>
  <c r="J23" i="14"/>
  <c r="M23" i="14"/>
  <c r="N23" i="14"/>
  <c r="O23" i="14"/>
  <c r="N70" i="14"/>
  <c r="N69" i="14"/>
  <c r="N66" i="14"/>
  <c r="N67" i="14" s="1"/>
  <c r="N60" i="14"/>
  <c r="N61" i="14" s="1"/>
  <c r="N53" i="14"/>
  <c r="N52" i="14"/>
  <c r="N46" i="14"/>
  <c r="N47" i="14" s="1"/>
  <c r="N43" i="14"/>
  <c r="N44" i="14" s="1"/>
  <c r="N40" i="14"/>
  <c r="N41" i="14" s="1"/>
  <c r="N36" i="14"/>
  <c r="N38" i="14" s="1"/>
  <c r="K69" i="14"/>
  <c r="L53" i="14"/>
  <c r="I61" i="14"/>
  <c r="K60" i="14"/>
  <c r="L60" i="14" s="1"/>
  <c r="I47" i="14"/>
  <c r="K46" i="14"/>
  <c r="L46" i="14" s="1"/>
  <c r="I44" i="14"/>
  <c r="K43" i="14"/>
  <c r="K44" i="14" s="1"/>
  <c r="I41" i="14"/>
  <c r="K40" i="14"/>
  <c r="L40" i="14" s="1"/>
  <c r="K36" i="14"/>
  <c r="K38" i="14" s="1"/>
  <c r="I23" i="14"/>
  <c r="K22" i="14"/>
  <c r="N29" i="12"/>
  <c r="N31" i="12" s="1"/>
  <c r="L29" i="12"/>
  <c r="L31" i="12" s="1"/>
  <c r="K29" i="12"/>
  <c r="K31" i="12" s="1"/>
  <c r="N176" i="12"/>
  <c r="N177" i="12" s="1"/>
  <c r="N156" i="12"/>
  <c r="N155" i="12"/>
  <c r="N154" i="12"/>
  <c r="N153" i="12"/>
  <c r="N145" i="12"/>
  <c r="N146" i="12" s="1"/>
  <c r="N139" i="12"/>
  <c r="N140" i="12" s="1"/>
  <c r="N130" i="12"/>
  <c r="N131" i="12" s="1"/>
  <c r="N121" i="12"/>
  <c r="N122" i="12" s="1"/>
  <c r="N117" i="12"/>
  <c r="N118" i="12" s="1"/>
  <c r="N110" i="12"/>
  <c r="N111" i="12" s="1"/>
  <c r="N106" i="12"/>
  <c r="N105" i="12"/>
  <c r="N98" i="12"/>
  <c r="N103" i="12" s="1"/>
  <c r="N91" i="12"/>
  <c r="N93" i="12" s="1"/>
  <c r="N83" i="12"/>
  <c r="N85" i="12" s="1"/>
  <c r="N80" i="12"/>
  <c r="N78" i="12"/>
  <c r="N73" i="12"/>
  <c r="N76" i="12" s="1"/>
  <c r="N65" i="12"/>
  <c r="N58" i="12"/>
  <c r="N52" i="12"/>
  <c r="N43" i="12"/>
  <c r="N46" i="12" s="1"/>
  <c r="N36" i="12"/>
  <c r="N37" i="12" s="1"/>
  <c r="N127" i="12"/>
  <c r="N128" i="12" s="1"/>
  <c r="N23" i="12"/>
  <c r="N24" i="12" s="1"/>
  <c r="N20" i="12"/>
  <c r="N21" i="12" s="1"/>
  <c r="N15" i="12"/>
  <c r="N16" i="12" s="1"/>
  <c r="M24" i="12"/>
  <c r="M16" i="12"/>
  <c r="J177" i="12"/>
  <c r="J282" i="12" s="1"/>
  <c r="O177" i="12"/>
  <c r="J157" i="12"/>
  <c r="O157" i="12"/>
  <c r="J140" i="12"/>
  <c r="O140" i="12"/>
  <c r="J131" i="12"/>
  <c r="O131" i="12"/>
  <c r="J111" i="12"/>
  <c r="O111" i="12"/>
  <c r="J66" i="12"/>
  <c r="O66" i="12"/>
  <c r="O282" i="12" s="1"/>
  <c r="J53" i="12"/>
  <c r="O53" i="12"/>
  <c r="J37" i="12"/>
  <c r="O37" i="12"/>
  <c r="J128" i="12"/>
  <c r="O128" i="12"/>
  <c r="J24" i="12"/>
  <c r="O24" i="12"/>
  <c r="J16" i="12"/>
  <c r="O16" i="12"/>
  <c r="K176" i="12"/>
  <c r="K177" i="12" s="1"/>
  <c r="K156" i="12"/>
  <c r="K155" i="12"/>
  <c r="K154" i="12"/>
  <c r="K153" i="12"/>
  <c r="K145" i="12"/>
  <c r="K146" i="12" s="1"/>
  <c r="K139" i="12"/>
  <c r="K140" i="12" s="1"/>
  <c r="K130" i="12"/>
  <c r="K131" i="12" s="1"/>
  <c r="K121" i="12"/>
  <c r="K122" i="12" s="1"/>
  <c r="K117" i="12"/>
  <c r="K118" i="12" s="1"/>
  <c r="K110" i="12"/>
  <c r="K111" i="12" s="1"/>
  <c r="K106" i="12"/>
  <c r="K105" i="12"/>
  <c r="K98" i="12"/>
  <c r="K103" i="12" s="1"/>
  <c r="K91" i="12"/>
  <c r="K93" i="12" s="1"/>
  <c r="K83" i="12"/>
  <c r="K85" i="12" s="1"/>
  <c r="K80" i="12"/>
  <c r="K78" i="12"/>
  <c r="K73" i="12"/>
  <c r="K76" i="12" s="1"/>
  <c r="K65" i="12"/>
  <c r="K58" i="12"/>
  <c r="K52" i="12"/>
  <c r="K43" i="12"/>
  <c r="K46" i="12" s="1"/>
  <c r="K36" i="12"/>
  <c r="K37" i="12" s="1"/>
  <c r="K127" i="12"/>
  <c r="K128" i="12" s="1"/>
  <c r="K24" i="12"/>
  <c r="K20" i="12"/>
  <c r="K21" i="12" s="1"/>
  <c r="K15" i="12"/>
  <c r="K16" i="12" s="1"/>
  <c r="L176" i="12"/>
  <c r="L156" i="12"/>
  <c r="L155" i="12"/>
  <c r="L154" i="12"/>
  <c r="L153" i="12"/>
  <c r="L145" i="12"/>
  <c r="L146" i="12" s="1"/>
  <c r="L139" i="12"/>
  <c r="L130" i="12"/>
  <c r="M131" i="12" s="1"/>
  <c r="L121" i="12"/>
  <c r="L122" i="12" s="1"/>
  <c r="L117" i="12"/>
  <c r="L118" i="12" s="1"/>
  <c r="L110" i="12"/>
  <c r="L111" i="12" s="1"/>
  <c r="L106" i="12"/>
  <c r="L105" i="12"/>
  <c r="L98" i="12"/>
  <c r="L103" i="12" s="1"/>
  <c r="L91" i="12"/>
  <c r="L93" i="12" s="1"/>
  <c r="L83" i="12"/>
  <c r="L85" i="12" s="1"/>
  <c r="L80" i="12"/>
  <c r="L78" i="12"/>
  <c r="L73" i="12"/>
  <c r="L76" i="12" s="1"/>
  <c r="L65" i="12"/>
  <c r="L58" i="12"/>
  <c r="L52" i="12"/>
  <c r="L43" i="12"/>
  <c r="L46" i="12" s="1"/>
  <c r="L36" i="12"/>
  <c r="L37" i="12" s="1"/>
  <c r="L127" i="12"/>
  <c r="L128" i="12" s="1"/>
  <c r="L24" i="12"/>
  <c r="L20" i="12"/>
  <c r="L21" i="12" s="1"/>
  <c r="L15" i="12"/>
  <c r="L16" i="12" s="1"/>
  <c r="I157" i="12"/>
  <c r="I66" i="12"/>
  <c r="I140" i="12"/>
  <c r="I111" i="12"/>
  <c r="I128" i="12"/>
  <c r="L617" i="17"/>
  <c r="L623" i="17"/>
  <c r="L626" i="17"/>
  <c r="J617" i="17"/>
  <c r="J623" i="17"/>
  <c r="J626" i="17"/>
  <c r="I617" i="17"/>
  <c r="I627" i="17" s="1"/>
  <c r="J604" i="17"/>
  <c r="L604" i="17"/>
  <c r="H615" i="17"/>
  <c r="M615" i="17"/>
  <c r="I604" i="17"/>
  <c r="I538" i="17"/>
  <c r="I598" i="17" s="1"/>
  <c r="K626" i="17" l="1"/>
  <c r="K623" i="17"/>
  <c r="N623" i="17" s="1"/>
  <c r="O623" i="17" s="1"/>
  <c r="L627" i="17"/>
  <c r="J627" i="17"/>
  <c r="P35" i="14"/>
  <c r="Q35" i="14" s="1"/>
  <c r="L22" i="14"/>
  <c r="L23" i="14" s="1"/>
  <c r="O72" i="14"/>
  <c r="O87" i="14" s="1"/>
  <c r="J72" i="14"/>
  <c r="J87" i="14" s="1"/>
  <c r="M52" i="12"/>
  <c r="K108" i="12"/>
  <c r="N71" i="14"/>
  <c r="N72" i="14" s="1"/>
  <c r="N87" i="14" s="1"/>
  <c r="L69" i="14"/>
  <c r="M69" i="14" s="1"/>
  <c r="N626" i="17"/>
  <c r="L108" i="12"/>
  <c r="N108" i="12"/>
  <c r="K81" i="12"/>
  <c r="L81" i="12"/>
  <c r="N81" i="12"/>
  <c r="M139" i="12"/>
  <c r="P139" i="12" s="1"/>
  <c r="P140" i="12" s="1"/>
  <c r="O56" i="17"/>
  <c r="N56" i="17"/>
  <c r="M121" i="12"/>
  <c r="M122" i="12" s="1"/>
  <c r="K66" i="12"/>
  <c r="K157" i="12"/>
  <c r="K53" i="12"/>
  <c r="L66" i="12"/>
  <c r="M29" i="12"/>
  <c r="M31" i="12" s="1"/>
  <c r="M106" i="12"/>
  <c r="P106" i="12" s="1"/>
  <c r="Q106" i="12" s="1"/>
  <c r="M83" i="12"/>
  <c r="M85" i="12" s="1"/>
  <c r="N53" i="12"/>
  <c r="P91" i="12"/>
  <c r="P93" i="12" s="1"/>
  <c r="M156" i="12"/>
  <c r="P156" i="12" s="1"/>
  <c r="Q156" i="12" s="1"/>
  <c r="M98" i="12"/>
  <c r="M103" i="12" s="1"/>
  <c r="M127" i="12"/>
  <c r="M128" i="12" s="1"/>
  <c r="L157" i="12"/>
  <c r="N66" i="12"/>
  <c r="M53" i="14"/>
  <c r="P53" i="14" s="1"/>
  <c r="Q53" i="14" s="1"/>
  <c r="L36" i="14"/>
  <c r="L38" i="14" s="1"/>
  <c r="L52" i="14"/>
  <c r="L58" i="14" s="1"/>
  <c r="M60" i="14"/>
  <c r="M61" i="14" s="1"/>
  <c r="L61" i="14"/>
  <c r="M40" i="14"/>
  <c r="M41" i="14" s="1"/>
  <c r="L41" i="14"/>
  <c r="M46" i="14"/>
  <c r="P46" i="14" s="1"/>
  <c r="P47" i="14" s="1"/>
  <c r="K23" i="14"/>
  <c r="K47" i="14"/>
  <c r="L43" i="14"/>
  <c r="L44" i="14" s="1"/>
  <c r="K41" i="14"/>
  <c r="K61" i="14"/>
  <c r="K617" i="17"/>
  <c r="L47" i="14"/>
  <c r="P73" i="12"/>
  <c r="P76" i="12" s="1"/>
  <c r="M154" i="12"/>
  <c r="P154" i="12" s="1"/>
  <c r="Q154" i="12" s="1"/>
  <c r="M20" i="12"/>
  <c r="M21" i="12" s="1"/>
  <c r="M78" i="12"/>
  <c r="M105" i="12"/>
  <c r="M155" i="12"/>
  <c r="P155" i="12" s="1"/>
  <c r="Q155" i="12" s="1"/>
  <c r="M58" i="12"/>
  <c r="M153" i="12"/>
  <c r="P153" i="12" s="1"/>
  <c r="Q153" i="12" s="1"/>
  <c r="M80" i="12"/>
  <c r="M110" i="12"/>
  <c r="M111" i="12" s="1"/>
  <c r="M117" i="12"/>
  <c r="M118" i="12" s="1"/>
  <c r="M176" i="12"/>
  <c r="M177" i="12" s="1"/>
  <c r="L131" i="12"/>
  <c r="M43" i="12"/>
  <c r="M46" i="12" s="1"/>
  <c r="L177" i="12"/>
  <c r="M36" i="12"/>
  <c r="M37" i="12" s="1"/>
  <c r="M66" i="12"/>
  <c r="N157" i="12"/>
  <c r="L140" i="12"/>
  <c r="P145" i="12"/>
  <c r="P146" i="12" s="1"/>
  <c r="L53" i="12"/>
  <c r="N605" i="17"/>
  <c r="O605" i="17" s="1"/>
  <c r="K604" i="17"/>
  <c r="N604" i="17" s="1"/>
  <c r="O604" i="17" s="1"/>
  <c r="N564" i="17"/>
  <c r="O564" i="17" s="1"/>
  <c r="N540" i="17"/>
  <c r="O540" i="17" s="1"/>
  <c r="K538" i="17"/>
  <c r="K598" i="17" s="1"/>
  <c r="N539" i="17"/>
  <c r="O539" i="17" s="1"/>
  <c r="K282" i="12" l="1"/>
  <c r="N282" i="12"/>
  <c r="L282" i="12"/>
  <c r="P22" i="14"/>
  <c r="P23" i="14" s="1"/>
  <c r="K627" i="17"/>
  <c r="P69" i="14"/>
  <c r="P105" i="12"/>
  <c r="P108" i="12" s="1"/>
  <c r="M108" i="12"/>
  <c r="P121" i="12"/>
  <c r="P122" i="12" s="1"/>
  <c r="M52" i="14"/>
  <c r="M58" i="14" s="1"/>
  <c r="M81" i="12"/>
  <c r="P43" i="12"/>
  <c r="P46" i="12" s="1"/>
  <c r="P29" i="12"/>
  <c r="P31" i="12" s="1"/>
  <c r="Q157" i="12"/>
  <c r="Q139" i="12"/>
  <c r="Q140" i="12" s="1"/>
  <c r="P110" i="12"/>
  <c r="P111" i="12" s="1"/>
  <c r="M140" i="12"/>
  <c r="Q73" i="12"/>
  <c r="Q76" i="12" s="1"/>
  <c r="Q91" i="12"/>
  <c r="Q93" i="12" s="1"/>
  <c r="P127" i="12"/>
  <c r="P128" i="12" s="1"/>
  <c r="O626" i="17"/>
  <c r="N538" i="17"/>
  <c r="N598" i="17" s="1"/>
  <c r="M36" i="14"/>
  <c r="M38" i="14" s="1"/>
  <c r="P40" i="14"/>
  <c r="P41" i="14" s="1"/>
  <c r="P60" i="14"/>
  <c r="M47" i="14"/>
  <c r="M43" i="14"/>
  <c r="M44" i="14" s="1"/>
  <c r="N617" i="17"/>
  <c r="N627" i="17" s="1"/>
  <c r="Q22" i="14"/>
  <c r="Q23" i="14" s="1"/>
  <c r="Q46" i="14"/>
  <c r="Q47" i="14" s="1"/>
  <c r="P157" i="12"/>
  <c r="Q105" i="12"/>
  <c r="Q108" i="12" s="1"/>
  <c r="M53" i="12"/>
  <c r="M157" i="12"/>
  <c r="M282" i="12" s="1"/>
  <c r="Q145" i="12"/>
  <c r="Q146" i="12" s="1"/>
  <c r="P98" i="12"/>
  <c r="P103" i="12" s="1"/>
  <c r="Q69" i="14" l="1"/>
  <c r="Q121" i="12"/>
  <c r="Q122" i="12" s="1"/>
  <c r="P52" i="14"/>
  <c r="P58" i="14" s="1"/>
  <c r="Q29" i="12"/>
  <c r="Q31" i="12" s="1"/>
  <c r="Q43" i="12"/>
  <c r="Q46" i="12" s="1"/>
  <c r="O538" i="17"/>
  <c r="O598" i="17" s="1"/>
  <c r="Q110" i="12"/>
  <c r="Q111" i="12" s="1"/>
  <c r="Q127" i="12"/>
  <c r="Q128" i="12" s="1"/>
  <c r="Q40" i="14"/>
  <c r="Q41" i="14" s="1"/>
  <c r="P36" i="14"/>
  <c r="P38" i="14" s="1"/>
  <c r="P61" i="14"/>
  <c r="Q60" i="14"/>
  <c r="Q61" i="14" s="1"/>
  <c r="P43" i="14"/>
  <c r="P44" i="14" s="1"/>
  <c r="O617" i="17"/>
  <c r="O627" i="17" s="1"/>
  <c r="Q98" i="12"/>
  <c r="Q103" i="12" s="1"/>
  <c r="Q52" i="14" l="1"/>
  <c r="Q58" i="14" s="1"/>
  <c r="Q36" i="14"/>
  <c r="Q38" i="14" s="1"/>
  <c r="Q43" i="14"/>
  <c r="Q44" i="14" s="1"/>
  <c r="M533" i="17"/>
  <c r="K533" i="17"/>
  <c r="H533" i="17"/>
  <c r="G533" i="17"/>
  <c r="L532" i="17"/>
  <c r="L533" i="17" s="1"/>
  <c r="J532" i="17"/>
  <c r="J533" i="17" s="1"/>
  <c r="I532" i="17"/>
  <c r="I533" i="17" s="1"/>
  <c r="J503" i="17"/>
  <c r="L503" i="17"/>
  <c r="L530" i="17" s="1"/>
  <c r="I503" i="17"/>
  <c r="I530" i="17" s="1"/>
  <c r="L431" i="17"/>
  <c r="L432" i="17"/>
  <c r="L433" i="17"/>
  <c r="L434" i="17"/>
  <c r="I431" i="17"/>
  <c r="I501" i="17" s="1"/>
  <c r="J431" i="17"/>
  <c r="J432" i="17"/>
  <c r="J433" i="17"/>
  <c r="K433" i="17" s="1"/>
  <c r="J434" i="17"/>
  <c r="H429" i="17"/>
  <c r="K429" i="17"/>
  <c r="M429" i="17"/>
  <c r="G429" i="17"/>
  <c r="L428" i="17"/>
  <c r="L429" i="17" s="1"/>
  <c r="J428" i="17"/>
  <c r="I428" i="17"/>
  <c r="I429" i="17" s="1"/>
  <c r="J398" i="17"/>
  <c r="K398" i="17" s="1"/>
  <c r="J395" i="17"/>
  <c r="K395" i="17" s="1"/>
  <c r="I406" i="17"/>
  <c r="J388" i="17"/>
  <c r="L369" i="17"/>
  <c r="J369" i="17"/>
  <c r="I369" i="17"/>
  <c r="I375" i="17" s="1"/>
  <c r="N348" i="17"/>
  <c r="O348" i="17" s="1"/>
  <c r="L350" i="17"/>
  <c r="J350" i="17"/>
  <c r="I350" i="17"/>
  <c r="J334" i="17"/>
  <c r="L318" i="17"/>
  <c r="L320" i="17" s="1"/>
  <c r="J318" i="17"/>
  <c r="I320" i="17"/>
  <c r="H291" i="17"/>
  <c r="M291" i="17"/>
  <c r="G291" i="17"/>
  <c r="I289" i="17"/>
  <c r="J289" i="17"/>
  <c r="L289" i="17"/>
  <c r="I278" i="17"/>
  <c r="L278" i="17"/>
  <c r="N273" i="17"/>
  <c r="O273" i="17" s="1"/>
  <c r="L267" i="17"/>
  <c r="L268" i="17" s="1"/>
  <c r="H268" i="17"/>
  <c r="M268" i="17"/>
  <c r="G268" i="17"/>
  <c r="J267" i="17"/>
  <c r="J263" i="17"/>
  <c r="L263" i="17"/>
  <c r="L259" i="17"/>
  <c r="J259" i="17"/>
  <c r="I239" i="17"/>
  <c r="I251" i="17" s="1"/>
  <c r="J239" i="17"/>
  <c r="J251" i="17" s="1"/>
  <c r="L239" i="17"/>
  <c r="L251" i="17" s="1"/>
  <c r="L230" i="17"/>
  <c r="J230" i="17"/>
  <c r="L183" i="17"/>
  <c r="L214" i="17" s="1"/>
  <c r="L169" i="17"/>
  <c r="L170" i="17"/>
  <c r="J169" i="17"/>
  <c r="J170" i="17"/>
  <c r="I169" i="17"/>
  <c r="I72" i="17"/>
  <c r="I156" i="17" s="1"/>
  <c r="K432" i="17" l="1"/>
  <c r="K431" i="17"/>
  <c r="J530" i="17"/>
  <c r="K503" i="17"/>
  <c r="J501" i="17"/>
  <c r="L501" i="17"/>
  <c r="K388" i="17"/>
  <c r="K406" i="17" s="1"/>
  <c r="J406" i="17"/>
  <c r="J278" i="17"/>
  <c r="K278" i="17"/>
  <c r="J320" i="17"/>
  <c r="K320" i="17"/>
  <c r="N433" i="17"/>
  <c r="O433" i="17" s="1"/>
  <c r="L264" i="17"/>
  <c r="J264" i="17"/>
  <c r="I264" i="17"/>
  <c r="J231" i="17"/>
  <c r="I231" i="17"/>
  <c r="L231" i="17"/>
  <c r="J178" i="17"/>
  <c r="I178" i="17"/>
  <c r="L178" i="17"/>
  <c r="K530" i="17"/>
  <c r="N532" i="17"/>
  <c r="N432" i="17"/>
  <c r="O432" i="17" s="1"/>
  <c r="N434" i="17"/>
  <c r="N428" i="17"/>
  <c r="O428" i="17" s="1"/>
  <c r="O429" i="17" s="1"/>
  <c r="J429" i="17"/>
  <c r="N398" i="17"/>
  <c r="O398" i="17" s="1"/>
  <c r="N395" i="17"/>
  <c r="O395" i="17" s="1"/>
  <c r="K369" i="17"/>
  <c r="K350" i="17"/>
  <c r="N334" i="17"/>
  <c r="O334" i="17" s="1"/>
  <c r="N289" i="17"/>
  <c r="O289" i="17" s="1"/>
  <c r="K267" i="17"/>
  <c r="K268" i="17" s="1"/>
  <c r="N263" i="17"/>
  <c r="O263" i="17" s="1"/>
  <c r="N259" i="17"/>
  <c r="K239" i="17"/>
  <c r="K251" i="17" s="1"/>
  <c r="K230" i="17"/>
  <c r="K170" i="17"/>
  <c r="N170" i="17" s="1"/>
  <c r="O170" i="17" s="1"/>
  <c r="K183" i="17"/>
  <c r="K169" i="17"/>
  <c r="K76" i="17"/>
  <c r="N76" i="17" s="1"/>
  <c r="O76" i="17" s="1"/>
  <c r="K74" i="17"/>
  <c r="N74" i="17" s="1"/>
  <c r="O74" i="17" s="1"/>
  <c r="K75" i="17"/>
  <c r="N75" i="17" s="1"/>
  <c r="O75" i="17" s="1"/>
  <c r="K73" i="17"/>
  <c r="N73" i="17" s="1"/>
  <c r="O73" i="17" s="1"/>
  <c r="K72" i="17"/>
  <c r="K501" i="17" l="1"/>
  <c r="N183" i="17"/>
  <c r="K214" i="17"/>
  <c r="K156" i="17"/>
  <c r="N388" i="17"/>
  <c r="N406" i="17" s="1"/>
  <c r="N431" i="17"/>
  <c r="N501" i="17" s="1"/>
  <c r="N503" i="17"/>
  <c r="N530" i="17" s="1"/>
  <c r="K264" i="17"/>
  <c r="N239" i="17"/>
  <c r="N251" i="17" s="1"/>
  <c r="K231" i="17"/>
  <c r="K178" i="17"/>
  <c r="N533" i="17"/>
  <c r="O532" i="17"/>
  <c r="O533" i="17" s="1"/>
  <c r="O434" i="17"/>
  <c r="N429" i="17"/>
  <c r="N369" i="17"/>
  <c r="N347" i="17"/>
  <c r="N318" i="17"/>
  <c r="N320" i="17" s="1"/>
  <c r="N267" i="17"/>
  <c r="O267" i="17" s="1"/>
  <c r="O259" i="17"/>
  <c r="N230" i="17"/>
  <c r="N169" i="17"/>
  <c r="N72" i="17"/>
  <c r="N156" i="17" s="1"/>
  <c r="O183" i="17" l="1"/>
  <c r="O214" i="17" s="1"/>
  <c r="N214" i="17"/>
  <c r="O278" i="17"/>
  <c r="N278" i="17"/>
  <c r="O388" i="17"/>
  <c r="O406" i="17" s="1"/>
  <c r="O369" i="17"/>
  <c r="O347" i="17"/>
  <c r="O350" i="17" s="1"/>
  <c r="N350" i="17"/>
  <c r="O431" i="17"/>
  <c r="O501" i="17" s="1"/>
  <c r="O503" i="17"/>
  <c r="O530" i="17" s="1"/>
  <c r="O264" i="17"/>
  <c r="N264" i="17"/>
  <c r="O239" i="17"/>
  <c r="O251" i="17" s="1"/>
  <c r="O230" i="17"/>
  <c r="O231" i="17" s="1"/>
  <c r="N231" i="17"/>
  <c r="N178" i="17"/>
  <c r="O72" i="17"/>
  <c r="O156" i="17" s="1"/>
  <c r="O318" i="17"/>
  <c r="O320" i="17" s="1"/>
  <c r="O169" i="17"/>
  <c r="O178" i="17" l="1"/>
  <c r="H37" i="17" l="1"/>
  <c r="M37" i="17"/>
  <c r="L31" i="17"/>
  <c r="L35" i="17"/>
  <c r="J31" i="17"/>
  <c r="J35" i="17"/>
  <c r="I31" i="17"/>
  <c r="H21" i="17"/>
  <c r="M21" i="17"/>
  <c r="G21" i="17"/>
  <c r="L20" i="17"/>
  <c r="J20" i="17"/>
  <c r="I20" i="17"/>
  <c r="L12" i="17"/>
  <c r="J12" i="17"/>
  <c r="K35" i="17" l="1"/>
  <c r="K31" i="17"/>
  <c r="N31" i="17" s="1"/>
  <c r="O31" i="17" s="1"/>
  <c r="K20" i="17"/>
  <c r="N20" i="17" s="1"/>
  <c r="O20" i="17" s="1"/>
  <c r="K12" i="17"/>
  <c r="H602" i="17"/>
  <c r="M602" i="17"/>
  <c r="H274" i="17"/>
  <c r="M274" i="17"/>
  <c r="N12" i="17" l="1"/>
  <c r="O12" i="17" s="1"/>
  <c r="N35" i="17"/>
  <c r="O35" i="17" s="1"/>
  <c r="L327" i="17" l="1"/>
  <c r="L330" i="17" s="1"/>
  <c r="J327" i="17"/>
  <c r="I330" i="17"/>
  <c r="J330" i="17" l="1"/>
  <c r="K330" i="17"/>
  <c r="N327" i="17" l="1"/>
  <c r="N330" i="17" s="1"/>
  <c r="O327" i="17" l="1"/>
  <c r="O330" i="17" s="1"/>
  <c r="I177" i="12"/>
  <c r="P176" i="12"/>
  <c r="P177" i="12" s="1"/>
  <c r="Q176" i="12" l="1"/>
  <c r="Q177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31" i="12" l="1"/>
  <c r="P130" i="12"/>
  <c r="P131" i="12" s="1"/>
  <c r="Q130" i="12" l="1"/>
  <c r="Q131" i="12" s="1"/>
  <c r="L36" i="17" l="1"/>
  <c r="J36" i="17"/>
  <c r="K36" i="17" l="1"/>
  <c r="K37" i="17" s="1"/>
  <c r="I67" i="14"/>
  <c r="I72" i="14" s="1"/>
  <c r="K66" i="14"/>
  <c r="N36" i="17" l="1"/>
  <c r="L66" i="14"/>
  <c r="K67" i="14"/>
  <c r="O36" i="17"/>
  <c r="M66" i="14" l="1"/>
  <c r="M67" i="14" s="1"/>
  <c r="L67" i="14"/>
  <c r="P66" i="14" l="1"/>
  <c r="P67" i="14" l="1"/>
  <c r="Q66" i="14"/>
  <c r="Q67" i="14" s="1"/>
  <c r="P78" i="12"/>
  <c r="Q78" i="12" l="1"/>
  <c r="G602" i="17"/>
  <c r="H378" i="17"/>
  <c r="M378" i="17"/>
  <c r="G378" i="17"/>
  <c r="H339" i="17"/>
  <c r="M339" i="17"/>
  <c r="G339" i="17"/>
  <c r="I283" i="17"/>
  <c r="L37" i="17"/>
  <c r="I37" i="17"/>
  <c r="M628" i="17" l="1"/>
  <c r="M642" i="17" s="1"/>
  <c r="H628" i="17"/>
  <c r="H642" i="17" l="1"/>
  <c r="L601" i="17" l="1"/>
  <c r="J601" i="17"/>
  <c r="I601" i="17"/>
  <c r="L600" i="17"/>
  <c r="J600" i="17"/>
  <c r="I600" i="17"/>
  <c r="K601" i="17" l="1"/>
  <c r="K602" i="17" s="1"/>
  <c r="L602" i="17"/>
  <c r="J602" i="17"/>
  <c r="I602" i="17"/>
  <c r="N600" i="17"/>
  <c r="N601" i="17" l="1"/>
  <c r="O601" i="17" s="1"/>
  <c r="O600" i="17"/>
  <c r="L377" i="17"/>
  <c r="L378" i="17" s="1"/>
  <c r="J377" i="17"/>
  <c r="J378" i="17" s="1"/>
  <c r="I377" i="17"/>
  <c r="I378" i="17" s="1"/>
  <c r="O602" i="17" l="1"/>
  <c r="N602" i="17"/>
  <c r="I358" i="17"/>
  <c r="L338" i="17"/>
  <c r="L339" i="17" s="1"/>
  <c r="J338" i="17"/>
  <c r="I338" i="17"/>
  <c r="I339" i="17" s="1"/>
  <c r="J285" i="17"/>
  <c r="N356" i="17" l="1"/>
  <c r="N357" i="17"/>
  <c r="J358" i="17"/>
  <c r="L358" i="17"/>
  <c r="J339" i="17"/>
  <c r="K338" i="17"/>
  <c r="K339" i="17" s="1"/>
  <c r="N285" i="17"/>
  <c r="N338" i="17" l="1"/>
  <c r="N339" i="17" s="1"/>
  <c r="O285" i="17"/>
  <c r="O338" i="17" l="1"/>
  <c r="O339" i="17" s="1"/>
  <c r="L65" i="17" l="1"/>
  <c r="J65" i="17"/>
  <c r="I65" i="17"/>
  <c r="I24" i="12"/>
  <c r="Q67" i="12"/>
  <c r="P67" i="12"/>
  <c r="P80" i="12"/>
  <c r="P81" i="12" s="1"/>
  <c r="Q77" i="12"/>
  <c r="P77" i="12"/>
  <c r="Q80" i="12" l="1"/>
  <c r="Q81" i="12" s="1"/>
  <c r="P58" i="12" l="1"/>
  <c r="P52" i="12"/>
  <c r="P65" i="12"/>
  <c r="P66" i="12" s="1"/>
  <c r="Q52" i="12" l="1"/>
  <c r="Q58" i="12"/>
  <c r="Q65" i="12"/>
  <c r="Q66" i="12" s="1"/>
  <c r="G114" i="11" l="1"/>
  <c r="I114" i="11"/>
  <c r="J114" i="11"/>
  <c r="K114" i="11"/>
  <c r="L114" i="11"/>
  <c r="F114" i="11"/>
  <c r="K70" i="14"/>
  <c r="K71" i="14" s="1"/>
  <c r="K72" i="14" s="1"/>
  <c r="K87" i="14" s="1"/>
  <c r="H49" i="11" l="1"/>
  <c r="M49" i="11"/>
  <c r="L70" i="14"/>
  <c r="L71" i="14" s="1"/>
  <c r="L72" i="14" s="1"/>
  <c r="L87" i="14" s="1"/>
  <c r="N49" i="11" l="1"/>
  <c r="M70" i="14"/>
  <c r="M71" i="14" s="1"/>
  <c r="M72" i="14" s="1"/>
  <c r="M87" i="14" s="1"/>
  <c r="M114" i="11"/>
  <c r="H114" i="11"/>
  <c r="P70" i="14" l="1"/>
  <c r="P71" i="14" s="1"/>
  <c r="P72" i="14" s="1"/>
  <c r="P87" i="14" s="1"/>
  <c r="N114" i="11"/>
  <c r="P83" i="12"/>
  <c r="P85" i="12" s="1"/>
  <c r="P117" i="12"/>
  <c r="P118" i="12" s="1"/>
  <c r="I53" i="12"/>
  <c r="P53" i="12"/>
  <c r="P36" i="12"/>
  <c r="P37" i="12" s="1"/>
  <c r="I37" i="12"/>
  <c r="P23" i="12"/>
  <c r="P24" i="12" s="1"/>
  <c r="P20" i="12"/>
  <c r="P21" i="12" s="1"/>
  <c r="I266" i="12" l="1"/>
  <c r="I282" i="12" s="1"/>
  <c r="P282" i="12"/>
  <c r="Q70" i="14"/>
  <c r="Q71" i="14" s="1"/>
  <c r="Q72" i="14" s="1"/>
  <c r="Q87" i="14" s="1"/>
  <c r="Q83" i="12"/>
  <c r="Q85" i="12" s="1"/>
  <c r="Q117" i="12"/>
  <c r="Q118" i="12" s="1"/>
  <c r="Q20" i="12"/>
  <c r="Q21" i="12" s="1"/>
  <c r="Q36" i="12"/>
  <c r="Q37" i="12" s="1"/>
  <c r="Q23" i="12"/>
  <c r="Q24" i="12" s="1"/>
  <c r="Q53" i="12"/>
  <c r="Q282" i="12" l="1"/>
  <c r="G274" i="17"/>
  <c r="G628" i="17" s="1"/>
  <c r="G642" i="17" l="1"/>
  <c r="L372" i="17"/>
  <c r="L375" i="17" s="1"/>
  <c r="J372" i="17"/>
  <c r="J375" i="17" s="1"/>
  <c r="L336" i="17"/>
  <c r="J332" i="17"/>
  <c r="J336" i="17" s="1"/>
  <c r="I332" i="17"/>
  <c r="I336" i="17" s="1"/>
  <c r="L311" i="17"/>
  <c r="J311" i="17"/>
  <c r="I311" i="17"/>
  <c r="L291" i="17"/>
  <c r="J291" i="17"/>
  <c r="I291" i="17"/>
  <c r="J286" i="17"/>
  <c r="J287" i="17" s="1"/>
  <c r="I287" i="17"/>
  <c r="L283" i="17"/>
  <c r="J283" i="17"/>
  <c r="J266" i="17"/>
  <c r="J268" i="17" s="1"/>
  <c r="I266" i="17"/>
  <c r="I268" i="17" s="1"/>
  <c r="L42" i="17"/>
  <c r="I42" i="17"/>
  <c r="J37" i="17"/>
  <c r="L19" i="17"/>
  <c r="L21" i="17" s="1"/>
  <c r="J19" i="17"/>
  <c r="J21" i="17" s="1"/>
  <c r="I19" i="17"/>
  <c r="I21" i="17" s="1"/>
  <c r="L13" i="17"/>
  <c r="L14" i="17" s="1"/>
  <c r="J13" i="17"/>
  <c r="J11" i="17"/>
  <c r="I11" i="17"/>
  <c r="I14" i="17" s="1"/>
  <c r="J14" i="17" l="1"/>
  <c r="J42" i="17"/>
  <c r="J615" i="17"/>
  <c r="L615" i="17"/>
  <c r="I615" i="17"/>
  <c r="I274" i="17"/>
  <c r="N286" i="17"/>
  <c r="J274" i="17"/>
  <c r="N37" i="17"/>
  <c r="L274" i="17"/>
  <c r="N11" i="17"/>
  <c r="N266" i="17"/>
  <c r="N268" i="17" s="1"/>
  <c r="I628" i="17" l="1"/>
  <c r="I642" i="17" s="1"/>
  <c r="L628" i="17"/>
  <c r="L642" i="17" s="1"/>
  <c r="J628" i="17"/>
  <c r="J642" i="17" s="1"/>
  <c r="N287" i="17"/>
  <c r="O11" i="17"/>
  <c r="O286" i="17"/>
  <c r="O37" i="17"/>
  <c r="O266" i="17"/>
  <c r="O268" i="17" s="1"/>
  <c r="O287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5" i="17"/>
  <c r="K19" i="17"/>
  <c r="K21" i="17" s="1"/>
  <c r="K13" i="17"/>
  <c r="K14" i="17" s="1"/>
  <c r="K291" i="17"/>
  <c r="K283" i="17"/>
  <c r="K42" i="17"/>
  <c r="H9" i="19"/>
  <c r="J8" i="19" s="1"/>
  <c r="H8" i="19"/>
  <c r="I8" i="19" s="1"/>
  <c r="L11" i="19" s="1"/>
  <c r="F10" i="19"/>
  <c r="K311" i="17" l="1"/>
  <c r="K615" i="17"/>
  <c r="N13" i="17"/>
  <c r="N42" i="17"/>
  <c r="N19" i="17"/>
  <c r="N21" i="17" s="1"/>
  <c r="K274" i="17"/>
  <c r="K372" i="17"/>
  <c r="K375" i="17" s="1"/>
  <c r="K332" i="17"/>
  <c r="K336" i="17" s="1"/>
  <c r="N377" i="17"/>
  <c r="K378" i="17"/>
  <c r="N283" i="17"/>
  <c r="N291" i="17"/>
  <c r="N65" i="17"/>
  <c r="O13" i="17" l="1"/>
  <c r="O14" i="17" s="1"/>
  <c r="N14" i="17"/>
  <c r="K358" i="17"/>
  <c r="K628" i="17" s="1"/>
  <c r="N372" i="17"/>
  <c r="N375" i="17" s="1"/>
  <c r="O311" i="17"/>
  <c r="N311" i="17"/>
  <c r="O615" i="17"/>
  <c r="N615" i="17"/>
  <c r="N332" i="17"/>
  <c r="N336" i="17" s="1"/>
  <c r="O19" i="17"/>
  <c r="O21" i="17" s="1"/>
  <c r="O42" i="17"/>
  <c r="O274" i="17"/>
  <c r="N274" i="17"/>
  <c r="O357" i="17"/>
  <c r="O377" i="17"/>
  <c r="O378" i="17" s="1"/>
  <c r="N378" i="17"/>
  <c r="O283" i="17"/>
  <c r="O65" i="17"/>
  <c r="O291" i="17"/>
  <c r="K642" i="17" l="1"/>
  <c r="N358" i="17"/>
  <c r="N628" i="17" s="1"/>
  <c r="O372" i="17"/>
  <c r="O375" i="17" s="1"/>
  <c r="O332" i="17"/>
  <c r="O336" i="17" s="1"/>
  <c r="O356" i="17"/>
  <c r="O358" i="17" s="1"/>
  <c r="O628" i="17" l="1"/>
  <c r="O642" i="17" s="1"/>
  <c r="N642" i="17"/>
</calcChain>
</file>

<file path=xl/sharedStrings.xml><?xml version="1.0" encoding="utf-8"?>
<sst xmlns="http://schemas.openxmlformats.org/spreadsheetml/2006/main" count="4291" uniqueCount="1074">
  <si>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</si>
  <si>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</si>
  <si>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</si>
  <si>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</si>
  <si>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</si>
  <si>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</si>
  <si>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</si>
  <si>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</si>
  <si>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</si>
  <si>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</si>
  <si>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</si>
  <si>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</si>
  <si>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</si>
  <si>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</si>
  <si>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</si>
  <si>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</si>
  <si>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</si>
  <si>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</si>
  <si>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</si>
  <si>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</si>
  <si>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</si>
  <si>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</si>
  <si>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</si>
  <si>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</si>
  <si>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</si>
  <si>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</si>
  <si>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</si>
  <si>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</si>
  <si>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</si>
  <si>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</si>
  <si>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</si>
  <si>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</si>
  <si>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</si>
  <si>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</si>
  <si>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</si>
  <si>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</si>
  <si>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</si>
  <si>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</si>
  <si>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</si>
  <si>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</si>
  <si>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</si>
  <si>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</si>
  <si>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</si>
  <si>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</si>
  <si>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</si>
  <si>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</si>
  <si>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</si>
  <si>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</si>
  <si>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</si>
  <si>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</si>
  <si>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</si>
  <si>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</si>
  <si>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</si>
  <si>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</si>
  <si>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</si>
  <si>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</si>
  <si>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</si>
  <si>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</si>
  <si>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</si>
  <si>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</si>
  <si>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</si>
  <si>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</si>
  <si>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</si>
  <si>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</si>
  <si>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</si>
  <si>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</si>
  <si>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</si>
  <si>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</si>
  <si>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</si>
  <si>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</si>
  <si>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</si>
  <si>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</si>
  <si>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</si>
  <si>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</si>
  <si>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</si>
  <si>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</si>
  <si>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</si>
  <si>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</si>
  <si>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</si>
  <si>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</si>
  <si>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</si>
  <si>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</si>
  <si>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</si>
  <si>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</si>
  <si>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</si>
  <si>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</si>
  <si>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</si>
  <si>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</si>
  <si>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</si>
  <si>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</si>
  <si>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</si>
  <si>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</si>
  <si>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</si>
  <si>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</si>
  <si>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</si>
  <si>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</si>
  <si>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</si>
  <si>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</si>
  <si>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</si>
  <si>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</si>
  <si>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</si>
  <si>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</si>
  <si>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</si>
  <si>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</si>
  <si>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</si>
  <si>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</si>
  <si>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</si>
  <si>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</si>
  <si>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</si>
  <si>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</si>
  <si>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</si>
  <si>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</si>
  <si>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</si>
  <si>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</si>
  <si>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</si>
  <si>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</si>
  <si>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</si>
  <si>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</si>
  <si>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</si>
  <si>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</si>
  <si>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</si>
  <si>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</si>
  <si>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</si>
  <si>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</si>
  <si>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</si>
  <si>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</si>
  <si>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</si>
  <si>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</si>
  <si>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</si>
  <si>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</si>
  <si>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</si>
  <si>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</si>
  <si>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</si>
  <si>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</si>
  <si>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</si>
  <si>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</si>
  <si>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</si>
  <si>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</si>
  <si>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</si>
  <si>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</si>
  <si>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</si>
  <si>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</si>
  <si>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</si>
  <si>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</si>
  <si>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</si>
  <si>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</si>
  <si>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</si>
  <si>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</si>
  <si>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</si>
  <si>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</si>
  <si>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</si>
  <si>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</si>
  <si>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</si>
  <si>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</si>
  <si>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</si>
  <si>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</si>
  <si>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</si>
  <si>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</si>
  <si>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</si>
  <si>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</si>
  <si>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</si>
  <si>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</si>
  <si>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</si>
  <si>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</si>
  <si>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</si>
  <si>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</si>
  <si>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</si>
  <si>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</si>
  <si>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</si>
  <si>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</si>
  <si>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</si>
  <si>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</si>
  <si>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</si>
  <si>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</si>
  <si>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</si>
  <si>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</si>
  <si>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</si>
  <si>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</si>
  <si>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</si>
  <si>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</si>
  <si>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</si>
  <si>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</si>
  <si>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</si>
  <si>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</si>
  <si>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</si>
  <si>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</si>
  <si>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</si>
  <si>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</si>
  <si>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</si>
  <si>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</si>
  <si>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</si>
  <si>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</si>
  <si>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</si>
  <si>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</si>
  <si>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</si>
  <si>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</si>
  <si>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</si>
  <si>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</si>
  <si>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</si>
  <si>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</si>
  <si>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</si>
  <si>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</si>
  <si>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</si>
  <si>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</si>
  <si>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</si>
  <si>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</si>
  <si>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</si>
  <si>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</si>
  <si>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</si>
  <si>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</si>
  <si>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</si>
  <si>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</si>
  <si>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</si>
  <si>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</si>
  <si>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</si>
  <si>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</si>
  <si>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</si>
  <si>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</si>
  <si>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</si>
  <si>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</si>
  <si>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</si>
  <si>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</si>
  <si>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</si>
  <si>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</si>
  <si>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</si>
  <si>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</si>
  <si>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</si>
  <si>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</si>
  <si>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</si>
  <si>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</si>
  <si>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</si>
  <si>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</si>
  <si>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</si>
  <si>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</si>
  <si>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</si>
  <si>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</si>
  <si>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AGENTE SOCIAL</t>
  </si>
  <si>
    <t>ODONTOPEDIATRA</t>
  </si>
  <si>
    <t>MEDICO PEDIATRA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</si>
  <si>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</si>
  <si>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</si>
  <si>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</si>
  <si>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</si>
  <si>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</si>
  <si>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</si>
  <si>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</si>
  <si>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</si>
  <si>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</si>
  <si>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</si>
  <si>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</si>
  <si>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</si>
  <si>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</si>
  <si>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</si>
  <si>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</si>
  <si>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</si>
  <si>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</si>
  <si>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</si>
  <si>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ANA MATILDE DEL C. DE JESUS MERA NUÑEZ</t>
  </si>
  <si>
    <t>ADELINE PAGAN</t>
  </si>
  <si>
    <t>GISELL PAOLA ROSARIO MARTINEZ DE POLLI</t>
  </si>
  <si>
    <t>INGRID EDITH AGRAMONTE GOMEZ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</si>
  <si>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</si>
  <si>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</si>
  <si>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</si>
  <si>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</si>
  <si>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</si>
  <si>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</si>
  <si>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</si>
  <si>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ENCARGADA DIVISION DE COOPERACION INTERNACIONAL</t>
  </si>
  <si>
    <t>ANALISTA FINANCIERO</t>
  </si>
  <si>
    <t>AMPARO MARIA SOLIS CUEVA</t>
  </si>
  <si>
    <t>ALEYDA MERCEDES BATISTA PEÑA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</si>
  <si>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</si>
  <si>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</si>
  <si>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</si>
  <si>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</si>
  <si>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</si>
  <si>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</si>
  <si>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</si>
  <si>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</si>
  <si>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</si>
  <si>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</si>
  <si>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</si>
  <si>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</si>
  <si>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</si>
  <si>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</si>
  <si>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</si>
  <si>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</si>
  <si>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</si>
  <si>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</si>
  <si>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</si>
  <si>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</si>
  <si>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</si>
  <si>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</si>
  <si>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</si>
  <si>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CERSA NOBOA RAMIREZ</t>
  </si>
  <si>
    <t>INDHIRA PAMELA PLASENCIO AGUASVIVAS</t>
  </si>
  <si>
    <t>JOAQUIN ANTONIO SUVERVI HERNANDEZ FRICA</t>
  </si>
  <si>
    <t>JULISSA PAOLA ALMANZAR ADON</t>
  </si>
  <si>
    <t>LEWIS ENRIQUE VOLQUEZ DIAZ</t>
  </si>
  <si>
    <t>LUISA MARIA VELOZ LANTIGUA</t>
  </si>
  <si>
    <t>MERCEDES DEL CARMEN VARGAS FERNANDEZ</t>
  </si>
  <si>
    <t>MIGUEL ANGEL PIMENTEL</t>
  </si>
  <si>
    <t>PATRICIA MARIA DE LOURDES LOPEZ PENN</t>
  </si>
  <si>
    <t>SANTA YLUMINADA ALVAREZ PEÑA</t>
  </si>
  <si>
    <t>STEPHANY ROSANNY BATISTA PAULINO</t>
  </si>
  <si>
    <t>YANELI VASQUEZ PERALTA</t>
  </si>
  <si>
    <t>SOPORTE TECNICO DE INFORMATICA</t>
  </si>
  <si>
    <t>CAJERA</t>
  </si>
  <si>
    <t>AUXILIAR DE SERVICIO SOCIAL</t>
  </si>
  <si>
    <t>TERAPEUTA FAMILIAR</t>
  </si>
  <si>
    <t>AUXILIAR DE FACTURACION Y SEGURO</t>
  </si>
  <si>
    <t>ENCARGADA PLANIFICACION Y DESARROLLO</t>
  </si>
  <si>
    <t>AUXILIAR DE ALMACEN Y SUMINISTRO</t>
  </si>
  <si>
    <t>COORDINADOR (A) DESPACHO</t>
  </si>
  <si>
    <t>ENCARGADO DE TECNOLOGIA DE LA INFORMACION</t>
  </si>
  <si>
    <t>ASISTENTE SERVICIO SOCIAL</t>
  </si>
  <si>
    <t>ANALISTA DE COMPRAS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</si>
  <si>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</si>
  <si>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</si>
  <si>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</si>
  <si>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</si>
  <si>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</si>
  <si>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</si>
  <si>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</si>
  <si>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SEGURIDAD</t>
  </si>
  <si>
    <t>EVENTUAL</t>
  </si>
  <si>
    <t>EUGENIA DE LOS SANTOS VELASCO</t>
  </si>
  <si>
    <t>YUDIANNEL OGANDO RODRIGUEZ</t>
  </si>
  <si>
    <t>ESTEFANI ALTAGRACIA GARCIA PICHARDO</t>
  </si>
  <si>
    <t>PAMELA ALTAGRACIA DIAZ DIAZ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</si>
  <si>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</si>
  <si>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</si>
  <si>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</si>
  <si>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</si>
  <si>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</si>
  <si>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</si>
  <si>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</si>
  <si>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</si>
  <si>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</si>
  <si>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</si>
  <si>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</si>
  <si>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</si>
  <si>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</si>
  <si>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</si>
  <si>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</si>
  <si>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</si>
  <si>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</si>
  <si>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DESDE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</si>
  <si>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</si>
  <si>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</si>
  <si>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</si>
  <si>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</si>
  <si>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</si>
  <si>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JUANA PEREZ NOVAS</t>
  </si>
  <si>
    <t>DIOGENES RAFAEL BURGOS ARIAS</t>
  </si>
  <si>
    <t>SUSY JAMEIRI FRANCISCO PASCUAL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</si>
  <si>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</si>
  <si>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</si>
  <si>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</si>
  <si>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</si>
  <si>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</si>
  <si>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</si>
  <si>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</si>
  <si>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</si>
  <si>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</si>
  <si>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</si>
  <si>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</si>
  <si>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</si>
  <si>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</si>
  <si>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</si>
  <si>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</si>
  <si>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</si>
  <si>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</si>
  <si>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</si>
  <si>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</si>
  <si>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</si>
  <si>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</si>
  <si>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</si>
  <si>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</si>
  <si>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</si>
  <si>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</si>
  <si>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</si>
  <si>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</si>
  <si>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</si>
  <si>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</si>
  <si>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</si>
  <si>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</si>
  <si>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</si>
  <si>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</si>
  <si>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</si>
  <si>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</si>
  <si>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</si>
  <si>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</si>
  <si>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</si>
  <si>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</si>
  <si>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</si>
  <si>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</si>
  <si>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</si>
  <si>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</si>
  <si>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</si>
  <si>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</si>
  <si>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</si>
  <si>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</si>
  <si>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</si>
  <si>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</si>
  <si>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</si>
  <si>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</si>
  <si>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</si>
  <si>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</si>
  <si>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</si>
  <si>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EDISON IRIARTE RODRIGUEZ DIAZ</t>
  </si>
  <si>
    <t>DIRECCION NACIONAL</t>
  </si>
  <si>
    <t>ASISTENTE DE DESPACHO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</si>
  <si>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</si>
  <si>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</si>
  <si>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</si>
  <si>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</si>
  <si>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</si>
  <si>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</si>
  <si>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</si>
  <si>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</si>
  <si>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</si>
  <si>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</si>
  <si>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</si>
  <si>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</si>
  <si>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</si>
  <si>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</si>
  <si>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</si>
  <si>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</si>
  <si>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</si>
  <si>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</si>
  <si>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</si>
  <si>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</si>
  <si>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</si>
  <si>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</si>
  <si>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</si>
  <si>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</si>
  <si>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</si>
  <si>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</si>
  <si>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</si>
  <si>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>JENNIFER ALEXANDRA GARCIA TEJEDA</t>
  </si>
  <si>
    <t>LORENZO HEMENEGILDO DE JESUS GOMEZ</t>
  </si>
  <si>
    <t>MAYKER ALEXANDER CRUZ JIMENEZ</t>
  </si>
  <si>
    <t>RUTH ESTHER RODRIGUEZ SIERRA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</si>
  <si>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</si>
  <si>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</si>
  <si>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</si>
  <si>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</si>
  <si>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</si>
  <si>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</si>
  <si>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</si>
  <si>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</si>
  <si>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</si>
  <si>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</si>
  <si>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</si>
  <si>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</si>
  <si>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</si>
  <si>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</si>
  <si>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</si>
  <si>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</si>
  <si>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</si>
  <si>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</si>
  <si>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</si>
  <si>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</si>
  <si>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</si>
  <si>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</si>
  <si>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</si>
  <si>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</si>
  <si>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</si>
  <si>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</si>
  <si>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</si>
  <si>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</si>
  <si>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</si>
  <si>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</si>
  <si>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</si>
  <si>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</si>
  <si>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</si>
  <si>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</si>
  <si>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</si>
  <si>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</si>
  <si>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GESTOR ENERGETICO</t>
  </si>
  <si>
    <t>DIRECCION DEL CENTRO DE ATENCION INTEGRAL SAN JUAN DE LA MAGUANA -CAID</t>
  </si>
  <si>
    <t>DIVISION DE INTERVENCION TERAPEUTICA -CAID SDO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</si>
  <si>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</si>
  <si>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</si>
  <si>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</si>
  <si>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</si>
  <si>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</si>
  <si>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</si>
  <si>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</si>
  <si>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</si>
  <si>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</si>
  <si>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</si>
  <si>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</si>
  <si>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</si>
  <si>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</si>
  <si>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</si>
  <si>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</si>
  <si>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</si>
  <si>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COMPRAS Y CONTARATACIONES- CAID</t>
  </si>
  <si>
    <t>SECCION DE ALMACEN Y SUMINISTRO- CAID</t>
  </si>
  <si>
    <t>DIVISION DE SERVICIOS GENERALES- CAID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</si>
  <si>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</si>
  <si>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</si>
  <si>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</si>
  <si>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</si>
  <si>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</si>
  <si>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</si>
  <si>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</si>
  <si>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</si>
  <si>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</si>
  <si>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CAROLIN MASSIEL RODRIGUEZ VIDAL</t>
  </si>
  <si>
    <t>DEPARTAMENTO DE ATENCION Y TERAPIAS -CAID SDO</t>
  </si>
  <si>
    <t>FRANKLIN CASTILLO GERALDINO</t>
  </si>
  <si>
    <t>DIVISION DE ATENCION A GRUPOS Y FAMILIAS -CAID STGO</t>
  </si>
  <si>
    <t>ENCARGADO DEL DEPARTAMENTO JURIDICO</t>
  </si>
  <si>
    <t>ENCARGADO DE LA SECCION DE DESARROLLO DE IMPLEMENTACION DE SISTEMAS</t>
  </si>
  <si>
    <t>IVELISSE ADAMES DE LA CRUZ</t>
  </si>
  <si>
    <t>ZAIDY INMACULADA RIVERA ESPINOSA</t>
  </si>
  <si>
    <t>VICKY TORRES</t>
  </si>
  <si>
    <t>LEYNI ERNESTO LAZALA MATEO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</si>
  <si>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</si>
  <si>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</si>
  <si>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</si>
  <si>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</si>
  <si>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</si>
  <si>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</si>
  <si>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</si>
  <si>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</si>
  <si>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</si>
  <si>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</si>
  <si>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</si>
  <si>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</si>
  <si>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</si>
  <si>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</si>
  <si>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</si>
  <si>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</si>
  <si>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</si>
  <si>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MARIA YDALIA MONTERO CAMACHO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</si>
  <si>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</si>
  <si>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</si>
  <si>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</si>
  <si>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</si>
  <si>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</si>
  <si>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</si>
  <si>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</si>
  <si>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</si>
  <si>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</si>
  <si>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</si>
  <si>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</si>
  <si>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</si>
  <si>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</si>
  <si>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</si>
  <si>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</si>
  <si>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</si>
  <si>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</si>
  <si>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</si>
  <si>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</si>
  <si>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</si>
  <si>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</si>
  <si>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</si>
  <si>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</si>
  <si>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</si>
  <si>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</si>
  <si>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</si>
  <si>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</si>
  <si>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</si>
  <si>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</si>
  <si>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</si>
  <si>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ADRIANA DEL CONTE AYALA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</si>
  <si>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</si>
  <si>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</si>
  <si>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</si>
  <si>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</si>
  <si>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</si>
  <si>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</si>
  <si>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</si>
  <si>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KENIA MARIA FABIAN GABIN</t>
  </si>
  <si>
    <t>ABEL ALEXANDER DEL ROSARIO SIERRA</t>
  </si>
  <si>
    <t>WELLINGTHON JOSE ARIAS DE LOS SANTOS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</si>
  <si>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</si>
  <si>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</si>
  <si>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</si>
  <si>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</si>
  <si>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</si>
  <si>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</si>
  <si>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</si>
  <si>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</si>
  <si>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</si>
  <si>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</si>
  <si>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</si>
  <si>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</si>
  <si>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</si>
  <si>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</si>
  <si>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</si>
  <si>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</si>
  <si>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</si>
  <si>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</si>
  <si>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</si>
  <si>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</si>
  <si>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</si>
  <si>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</si>
  <si>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</si>
  <si>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</si>
  <si>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</si>
  <si>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</si>
  <si>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FISICO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</si>
  <si>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</si>
  <si>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</si>
  <si>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</si>
  <si>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</si>
  <si>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</si>
  <si>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</si>
  <si>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</si>
  <si>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</si>
  <si>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</si>
  <si>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</si>
  <si>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</si>
  <si>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</si>
  <si>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</si>
  <si>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</si>
  <si>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</si>
  <si>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</si>
  <si>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</si>
  <si>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</si>
  <si>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</si>
  <si>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</si>
  <si>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</si>
  <si>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</si>
  <si>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</si>
  <si>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</si>
  <si>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</si>
  <si>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</si>
  <si>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</si>
  <si>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</si>
  <si>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</si>
  <si>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</si>
  <si>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</si>
  <si>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</si>
  <si>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</si>
  <si>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</si>
  <si>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</si>
  <si>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</si>
  <si>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</si>
  <si>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</si>
  <si>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</si>
  <si>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</si>
  <si>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</si>
  <si>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</si>
  <si>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</si>
  <si>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</si>
  <si>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</si>
  <si>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</si>
  <si>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</si>
  <si>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</si>
  <si>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</si>
  <si>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</si>
  <si>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</si>
  <si>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</si>
  <si>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</si>
  <si>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</si>
  <si>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</si>
  <si>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</si>
  <si>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UITT ENSANCHE LUPERON</t>
  </si>
  <si>
    <t>VIGILANTE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</si>
  <si>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</si>
  <si>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</si>
  <si>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</si>
  <si>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</si>
  <si>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</si>
  <si>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</si>
  <si>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</si>
  <si>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</si>
  <si>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</si>
  <si>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</si>
  <si>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</si>
  <si>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</si>
  <si>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</si>
  <si>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</si>
  <si>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</si>
  <si>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</si>
  <si>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</si>
  <si>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</si>
  <si>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</si>
  <si>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</si>
  <si>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</si>
  <si>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</si>
  <si>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</si>
  <si>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</si>
  <si>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</si>
  <si>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</si>
  <si>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</si>
  <si>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</si>
  <si>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</si>
  <si>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</si>
  <si>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</si>
  <si>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</si>
  <si>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</si>
  <si>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</si>
  <si>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</si>
  <si>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</si>
  <si>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</si>
  <si>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</si>
  <si>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</si>
  <si>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</si>
  <si>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</si>
  <si>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</si>
  <si>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</si>
  <si>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ORIANNA JACQUELINE MATOS SANCHEZ</t>
  </si>
  <si>
    <t>TERAPEUTA DE APOYO PSICOPEDAGICO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</si>
  <si>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</si>
  <si>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</si>
  <si>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</si>
  <si>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</si>
  <si>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</si>
  <si>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</si>
  <si>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</si>
  <si>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</si>
  <si>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</si>
  <si>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</si>
  <si>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</si>
  <si>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</si>
  <si>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</si>
  <si>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</si>
  <si>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</si>
  <si>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</si>
  <si>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</si>
  <si>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</si>
  <si>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</si>
  <si>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</si>
  <si>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</si>
  <si>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</si>
  <si>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</si>
  <si>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</si>
  <si>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</si>
  <si>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</si>
  <si>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</si>
  <si>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</si>
  <si>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</si>
  <si>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</si>
  <si>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</si>
  <si>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</si>
  <si>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</si>
  <si>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</si>
  <si>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CYNTHIA VIÑAS VILLAR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</si>
  <si>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</si>
  <si>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</si>
  <si>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</si>
  <si>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</si>
  <si>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</si>
  <si>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</si>
  <si>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</si>
  <si>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</si>
  <si>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</si>
  <si>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</si>
  <si>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</si>
  <si>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</si>
  <si>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</si>
  <si>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</si>
  <si>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</si>
  <si>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</si>
  <si>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</si>
  <si>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</si>
  <si>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</si>
  <si>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</si>
  <si>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</si>
  <si>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</si>
  <si>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</si>
  <si>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</si>
  <si>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</si>
  <si>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</si>
  <si>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</si>
  <si>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</si>
  <si>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</si>
  <si>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</si>
  <si>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</si>
  <si>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</si>
  <si>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</si>
  <si>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</si>
  <si>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</si>
  <si>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</si>
  <si>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</si>
  <si>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</si>
  <si>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</si>
  <si>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DEPARTAMENTO FINANCIERO - CAID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</si>
  <si>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</si>
  <si>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</si>
  <si>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</si>
  <si>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</si>
  <si>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</si>
  <si>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</si>
  <si>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</si>
  <si>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</si>
  <si>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</si>
  <si>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</si>
  <si>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</si>
  <si>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</si>
  <si>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</si>
  <si>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SAMUEL JIMENEZ BAEZ</t>
  </si>
  <si>
    <t>EDITOR DE VIDEO</t>
  </si>
  <si>
    <t>ELIZABETH POLANCO FLETE</t>
  </si>
  <si>
    <t>YOALDO ELPIDIO ALMONTE HERNÁNDEZ</t>
  </si>
  <si>
    <t>FÉLIX DANIEL RAMÍREZ DÍAZ</t>
  </si>
  <si>
    <t>RAFAELINA TOLENTINO PERDOMO</t>
  </si>
  <si>
    <t>JUAN RICARDO HUMBERTO LANTIGUA RODR</t>
  </si>
  <si>
    <t>DIVISION DE EVALUACION DEL DESEMPEÑO Y CAPACITACION-CAID</t>
  </si>
  <si>
    <t>DIVISION DE PRESUPUESTO -CAID</t>
  </si>
  <si>
    <t>ENCARGADO DE PRESUPUESTO</t>
  </si>
  <si>
    <t>ESMERALDA ANTONIA REYES MATTA</t>
  </si>
  <si>
    <t>ANYELINA MARIA PARRA PEREZ</t>
  </si>
  <si>
    <t>MILORIS MORA MERCEDES</t>
  </si>
  <si>
    <t>ANA CRISTINA VICTORINO RODRIGUEZ</t>
  </si>
  <si>
    <t>VIRGINIA MARIA CARRASCO FERNANDEZ</t>
  </si>
  <si>
    <t>ALEJANDRA BRITO</t>
  </si>
  <si>
    <t>ROSEMARY DE LA CRUZ GOMEZ</t>
  </si>
  <si>
    <t>KIRIAN EMILIA CONCEPCION HERNANDEZ</t>
  </si>
  <si>
    <t>YURY ALTAGRACIA FELIX</t>
  </si>
  <si>
    <t>ROSA ANGELICA DE LA CRUZ</t>
  </si>
  <si>
    <t>HERMES JOSE GRULLON SANTANA</t>
  </si>
  <si>
    <t>MADELINE MELISSA ESTEVEZ TORIBIO</t>
  </si>
  <si>
    <t>DEPARTAMENTO FINANCIERO- CAID</t>
  </si>
  <si>
    <t>FANNY DEL CARMEN MEREJO LANTIGUA DE</t>
  </si>
  <si>
    <t>WILMA GREGORINA MEDINA VASQUEZ</t>
  </si>
  <si>
    <t>HAROLIN YOJANA MORA</t>
  </si>
  <si>
    <t>ROXANNA MILAGROS SANCHEZ MORALES</t>
  </si>
  <si>
    <t>SALLYN BARBINA TORRES PAULINO DE GO</t>
  </si>
  <si>
    <t>AIMEE JOHANNY DE JESUS BEATO FERNAN</t>
  </si>
  <si>
    <t>ELIANI PIÑEIRO RODRIGUEZ</t>
  </si>
  <si>
    <t>MARÍA ISABEL RUIZ GUZMAN</t>
  </si>
  <si>
    <t>LISSETTE BERNARDA DE JESUS RODRIGUE</t>
  </si>
  <si>
    <t>CYBELES NAZARETH CANELA POLANCO</t>
  </si>
  <si>
    <t>LAURA MARIA FERNANDEZ FERMIN</t>
  </si>
  <si>
    <t>ANNERY YISSEL ALVAREZ JOSE</t>
  </si>
  <si>
    <t>ERMITANIA DANIELA MEJIA LORA</t>
  </si>
  <si>
    <t>KATHERINNE PENELOPE ROSARIO PLASENC</t>
  </si>
  <si>
    <t>KEYLIN LUISANNA DE LOS SANTOS RAMIR</t>
  </si>
  <si>
    <t>JOSE ANTONIO OTAÑO RUIZ</t>
  </si>
  <si>
    <t>MILKA MIOFELIS POLANCO MARTINEZ</t>
  </si>
  <si>
    <t>ANA FERNANDA DE LOS SANTOS GARCIA</t>
  </si>
  <si>
    <t>ISABELA MARIE SANGIOVANNI NAVARRO</t>
  </si>
  <si>
    <t>AIMEE PAOLA AGUIRRE SALADIN</t>
  </si>
  <si>
    <t>OONAGH MAY LING MOK GONZALEZ DE FEL</t>
  </si>
  <si>
    <t>GERONIMO ALBERTO RODRIGUEZ HERNANDE</t>
  </si>
  <si>
    <t>ANA YAFRESSI SANTIAGO SUAREZ DE TAV</t>
  </si>
  <si>
    <t>CHARITO CALDERON MARTE</t>
  </si>
  <si>
    <t>EMANUEL FERNANDEZ BAEZ</t>
  </si>
  <si>
    <t>ANTONY ENCARNACION MONTERO</t>
  </si>
  <si>
    <t>ENCARGADO DE LA DIVISION DE FORMULACION, MONITOREO Y EVALUACION DE PLANES, PROGRAMAS Y PROYECTOS</t>
  </si>
  <si>
    <t>ANDERSON MIGUEL RODRIGUEZ RODRIGUEZ</t>
  </si>
  <si>
    <t>EMELY VANESSA JIMENEZ MEDINA</t>
  </si>
  <si>
    <t>ANGEL JEFFERSON SANCHEZ VENTURA</t>
  </si>
  <si>
    <t>EDUARDO ANDRES PINEDA CORPORAN</t>
  </si>
  <si>
    <t>SOPORTE TECNICO</t>
  </si>
  <si>
    <t>LISANDRY LISBETH CUEVAS DE JESUS</t>
  </si>
  <si>
    <t>ANALISTA DE DATOS ESTADÍSTICO</t>
  </si>
  <si>
    <t>MARIANNA DE JESUS FELIZ DUVERGE</t>
  </si>
  <si>
    <t>CANDY EDILI DE LA ROSA</t>
  </si>
  <si>
    <t>TECNICO DE TESORERIA</t>
  </si>
  <si>
    <t>DEPARTAMENTO DE GESTION Y ORGANIZACION DE UNIDADES DE INTERVENCION TERAPEUTICA TERRITORIAL</t>
  </si>
  <si>
    <t>ENCARGADO DEL DEPARTAMENTO DE GESTION Y ORGANIZACION DE UNIDADES DE INTERVENCION TERAPEUTICA TERRITORIAL</t>
  </si>
  <si>
    <t>DESIREE ARIAS GIL</t>
  </si>
  <si>
    <t>DULCE MARIA SUAREZ DE JESUS</t>
  </si>
  <si>
    <t>TRABAJADOR(A) SOCIAL</t>
  </si>
  <si>
    <t>ENCARGADO DE LA DIVISION DE SERVICIO SOCIA</t>
  </si>
  <si>
    <t>SARINA ABIGAIL LINARES GRULLON</t>
  </si>
  <si>
    <t>MARIA YULEISY RINCON CASTRO</t>
  </si>
  <si>
    <t>GUSTAVO ANTONIO DUVERGE LUGO</t>
  </si>
  <si>
    <t>NIURBY ERIDANIA PICHARDO LORA</t>
  </si>
  <si>
    <t>DIVISION DE ATENCION A GRUPOS Y FAMILIAS- CAID SDO</t>
  </si>
  <si>
    <t>TERAPEUTA DE ATENCIÓN TEMPRANA</t>
  </si>
  <si>
    <t>FARAH PALOMA DEL PILAR ANICO</t>
  </si>
  <si>
    <t>ELMILY BERNARD CRUZ</t>
  </si>
  <si>
    <t>SCARLE RODRIGUEZ CABA</t>
  </si>
  <si>
    <t>ZAILY FRANCHESKA ALVAREZ BLANCO</t>
  </si>
  <si>
    <t>MARIANNY STEFANY CASTILLO MIRANDA</t>
  </si>
  <si>
    <t>NICOLE NOEMI ANDRIS DIAZ</t>
  </si>
  <si>
    <t>DESIREE MARIE RIVERO LINARES</t>
  </si>
  <si>
    <t>WILLIAM ISACAR VELOZ GUZMAN</t>
  </si>
  <si>
    <t>STEFFANI ALEXANDRA ALVAREZ SANCHEZ</t>
  </si>
  <si>
    <t>KATHERINE JAZMIN DEL ROSARIO MARTIN</t>
  </si>
  <si>
    <t>CRISNELYS CENILDA TATIS CASTILLO</t>
  </si>
  <si>
    <t>DOLY LEANDRA GARCIA DOMINGUEZ</t>
  </si>
  <si>
    <t>ERIKA CAROLINA GRULLON MATIAS</t>
  </si>
  <si>
    <t>CARLOS JAVIER TUERO CRUZ</t>
  </si>
  <si>
    <t>WANDA RAQUEL MUÑOZ BAUTISTA</t>
  </si>
  <si>
    <t>PAOLA FRANCHESKA DE LOS SANTOS VASQ</t>
  </si>
  <si>
    <t>JOLANNE ODETTE TAVAREZ DIAZ</t>
  </si>
  <si>
    <t>CAROLIN LUCIER TINEO MONEGRO</t>
  </si>
  <si>
    <t>MARIELFI YNOA TORIBIO</t>
  </si>
  <si>
    <t>JANDRY RODRIGUEZ GARCIA</t>
  </si>
  <si>
    <t>IVANNA DEL PILAR TAVAREZ VASQUEZ</t>
  </si>
  <si>
    <t>ANDREA CASTILLO LUI</t>
  </si>
  <si>
    <t>ASHLEY RISMELL REYNOSO TALAVERA</t>
  </si>
  <si>
    <t>MARIA ALEJANDRA SELLA MARRERO</t>
  </si>
  <si>
    <t>FRANCHESKA JOHANNY MARTINEZ HERMON</t>
  </si>
  <si>
    <t>KARLA MARIA JOAQUIN CACERES</t>
  </si>
  <si>
    <t>TAMISH CHAS MEDINA</t>
  </si>
  <si>
    <t>MARIA ALEJANDRA MOREL ALMONTE</t>
  </si>
  <si>
    <t>JOHARLY DE LA ROSA FELIZ</t>
  </si>
  <si>
    <t>ODRIS MARGARITA DELGADO ACOSTA</t>
  </si>
  <si>
    <t>YESSICA ESTHER OZUNA JIMENEZ</t>
  </si>
  <si>
    <t>VALERIA LETICIA ALCANTARA PEÑA</t>
  </si>
  <si>
    <t>ELAYNE BELLO NOVA</t>
  </si>
  <si>
    <t>RAQUEL ANTONIA GUZMAN ROSARIO</t>
  </si>
  <si>
    <t>ASTRID LUCIA JIMENEZ JIMENEZ</t>
  </si>
  <si>
    <t>SAHIRA MASSIEL DURAN GOMEZ</t>
  </si>
  <si>
    <t>ALEJANDRA CESPEDES</t>
  </si>
  <si>
    <t>JUDITH STEPHANIE PEÑA GONZALEZ</t>
  </si>
  <si>
    <t>WAGNER PEREZ CEDANO</t>
  </si>
  <si>
    <t>EDUARDO LUIS TINEO ADAMES</t>
  </si>
  <si>
    <t>CARMEN NELIA MEDINA FELIZ</t>
  </si>
  <si>
    <t>AGUSTINA GARCIA ESPINAL</t>
  </si>
  <si>
    <t>LETICIA CORREA RODRIGUEZ</t>
  </si>
  <si>
    <t>KATHERINE POLANCO PEÑA</t>
  </si>
  <si>
    <t>YACELI MISHEL VALENZUELA JIMENEZ</t>
  </si>
  <si>
    <t>ALEJANDRO JAPA SOTO</t>
  </si>
  <si>
    <t>BERIOSCA GRISELDA LEONARDO RIVAS</t>
  </si>
  <si>
    <t>SECCION DE TRANSPORTACION- CAID</t>
  </si>
  <si>
    <t>JUAN ERNESTO FRAGOSO MERCEDES</t>
  </si>
  <si>
    <t>RONNY ALCANTARA TINEO</t>
  </si>
  <si>
    <t>FRANCISCO LUIS CASTILLO VIDAL</t>
  </si>
  <si>
    <t>LEILY XIOMARA ALMANZAR SUERO</t>
  </si>
  <si>
    <t>RAINI ERIBERTA NUÑEZ BONIFACIO</t>
  </si>
  <si>
    <t>LOYNNIS DE JESUS MOTA PEREZ</t>
  </si>
  <si>
    <t>YLEANNY ROSMERY DE LOS SANTOS MORIL</t>
  </si>
  <si>
    <t>ODIL RACHEL PEREZ</t>
  </si>
  <si>
    <t>LUIS ENRIQUE CASTILLO GARCIA</t>
  </si>
  <si>
    <t>LUZ DEL ALBA PUFFLER MARTINEZ</t>
  </si>
  <si>
    <t>GLEYDIS ISABEL PEREZ DE LOS SANTOS</t>
  </si>
  <si>
    <t>ANA MILAGROS ANGOMAS VALDEZ</t>
  </si>
  <si>
    <t>DIVISION DE APOYO PSICOPEDAGOGICO -CAID</t>
  </si>
  <si>
    <t>DEBORA MARIA SHANLATTE TAVARES</t>
  </si>
  <si>
    <t>NADIA ALEXANDRA DISAN SALOMON</t>
  </si>
  <si>
    <t>JULIO FRANCISCO RIVERA POLANCO</t>
  </si>
  <si>
    <t>DIRECCON DE CENTRO DE ATENCION INTEGRAL PARA LA DISCAPACIDAD SANTO DOMINGO ESTE- CAID SDE</t>
  </si>
  <si>
    <t>DESARROLLADOR (A) WEB</t>
  </si>
  <si>
    <t>CENTRO DE ATENCION INTEGRAL PARA LA DISCAPACIDAD - CAID</t>
  </si>
  <si>
    <t>ESPECIALISTA EN SALUD OCUPACIONAL Y GESTIÓN AMBIENTAL</t>
  </si>
  <si>
    <t>SUPERVISOR DE UNIDAD</t>
  </si>
  <si>
    <t>SECCIONES DE INTERVENCION TERAPEUTICA TERRITORIAL -CAID</t>
  </si>
  <si>
    <t>ENCARGADA DE SECCIONES DE INTERVENCION TERAPEUTICA TERRITORIAL</t>
  </si>
  <si>
    <t>SECCION DE ADMINISTRACION DE SERVICIOS TIC</t>
  </si>
  <si>
    <t>COORDINADORA DE TERAPIA DE HABLA Y LENGUAJE</t>
  </si>
  <si>
    <t>COORDINADORA DE INTERVENCIÓN CONDUCTUAL</t>
  </si>
  <si>
    <t>SUPERVISORA DE TERAPIA OCUPACIONAL</t>
  </si>
  <si>
    <t>COORDINADORA DE TERAPIA ATENCIÓN TEMPRANA</t>
  </si>
  <si>
    <t>ROCIO FRANCHESCA REYES GONZALEZ</t>
  </si>
  <si>
    <t>MANUEL DE JESUS SANCHEZ LORA</t>
  </si>
  <si>
    <t>LUZ MARIA PAYANO</t>
  </si>
  <si>
    <t>NOEMI ADALGISA MARTINEZ DISLA</t>
  </si>
  <si>
    <t>SECCION DE FACTURACION Y SEGUROS-CAID</t>
  </si>
  <si>
    <t>ADYS ALTAGRACIA VARGAS TEJADA</t>
  </si>
  <si>
    <t>CAJERO (A)</t>
  </si>
  <si>
    <t>FARLIN VANESSA DE LOS SANTOS MEJIA</t>
  </si>
  <si>
    <t>MELISSA POL PICHARDO</t>
  </si>
  <si>
    <t>FARINA ANABEL MARTE GONZALEZ</t>
  </si>
  <si>
    <t>TIFFANY CRISTAL PERALTA DURAN</t>
  </si>
  <si>
    <t>MELINA KHOURY VALES</t>
  </si>
  <si>
    <t>LORENA PATRICIA NADAL FAMILIA</t>
  </si>
  <si>
    <t>LUISANNA ESTHER ARIAS ABREU</t>
  </si>
  <si>
    <t>PAOLA MADERA PEREZ</t>
  </si>
  <si>
    <t>ANA VICTORIA BEATO DE GARCIA</t>
  </si>
  <si>
    <t>LINALDA DEL CARMEN VERAS MORILLO</t>
  </si>
  <si>
    <t>LOREYLEE MAXCIALLE VILLAR CABRERA</t>
  </si>
  <si>
    <t>PAOLA MICHELL VARGAS MELO</t>
  </si>
  <si>
    <t>WENY LESLIE NUÑEZ PEREZ</t>
  </si>
  <si>
    <t>YENIFER LUCIA REYNOSO MARCHENA</t>
  </si>
  <si>
    <t>KATTY SUSANA UREÑA DE ARIAS</t>
  </si>
  <si>
    <t>YUDIANA PAYANO CHAVEZ</t>
  </si>
  <si>
    <t>ILINOY ALBANIA MORA MEDINA</t>
  </si>
  <si>
    <t>ROSNELLYS MATOS GUZMAN</t>
  </si>
  <si>
    <t>MARIA CARMEN ADAMES FORTUNATO</t>
  </si>
  <si>
    <t>MARGERY MAGDALENA RAMIREZ CORDERO</t>
  </si>
  <si>
    <t>KEIKO RUTINEL ACOSTA</t>
  </si>
  <si>
    <t>DAHIANA MARIA OLACIO GARCIA</t>
  </si>
  <si>
    <t>DARY LEIDY PICHARDO TOLENTINO</t>
  </si>
  <si>
    <t>VILEISI RECIO FERNANDEZ</t>
  </si>
  <si>
    <t>DAYANA CRISTAL ENCARNACION BONILLA</t>
  </si>
  <si>
    <t>CLAUDIA MICHELLE FUERTES ROA</t>
  </si>
  <si>
    <t>ANNIE MABEL VEGA ORELLANA</t>
  </si>
  <si>
    <t>JENNIFER LUISA DOTEL NAVARRO</t>
  </si>
  <si>
    <t>DIANNELIS MANUELA PEREZ PEÑA</t>
  </si>
  <si>
    <t>ANGELES NAZARET REYNOSO</t>
  </si>
  <si>
    <t>ELISA JOSE BREA MATEO</t>
  </si>
  <si>
    <t>IRLANDA DE JESUS</t>
  </si>
  <si>
    <t>MERQUIS ANABEL BRIOSO SANCHEZ</t>
  </si>
  <si>
    <t>GERANDRY ISABEL MUÑOZ LIBERATO</t>
  </si>
  <si>
    <t>FRANCISCO APOLINAR FAMILIA ESCALANT</t>
  </si>
  <si>
    <t>VICMARIS DEL CARMEN BATISTA CORCINO</t>
  </si>
  <si>
    <t>JHERUVI DE LOS SANTOS MONTILLA</t>
  </si>
  <si>
    <t>CLARINDHI ALEXANDRA ESTEBAN CASTELL</t>
  </si>
  <si>
    <t>MARIA ISABEL GOMEZ GOMEZ</t>
  </si>
  <si>
    <t>YADIRA ACOSTA CORREDERA</t>
  </si>
  <si>
    <t>TECNICO</t>
  </si>
  <si>
    <t>DIVISION DE ATENCION AL USUARIO-CAID</t>
  </si>
  <si>
    <t>YAMILEX LOANNY REGALADO DIAZ</t>
  </si>
  <si>
    <t>Temporal</t>
  </si>
  <si>
    <t>CECILIA MARIA MONTEQUIN PEREZ</t>
  </si>
  <si>
    <t>JATNIEL NICOLAS RAMIREZ DIAZ</t>
  </si>
  <si>
    <t>Eventual</t>
  </si>
  <si>
    <t>CONCEPTO PAGO SUELDO 000001 - FIJOS CORRESPONDIENTE AL MES JULIO 2025</t>
  </si>
  <si>
    <t>CONCEPTO PAGO SUELDO 000018 - EMPLEADOS TEMPORALES CORRESPONDIENTE AL MES  JULIO  2025</t>
  </si>
  <si>
    <t>CONCEPTO PAGO SUELDO 000007 - PERSONAL DE VIGILANCIA CORRESPONDIENTE AL  MES  JULIO  2025</t>
  </si>
  <si>
    <t>CONCEPTO PAGO SUELDO 000005 - PERSONAL EVENTUAL CORRESPONDIENTE AL MES  JULIO 2025</t>
  </si>
  <si>
    <t>CONCEPTO PAGO SUELDO 000005 - PERSONAL TRAMITE DE PENSIÓN CORRESPONDIENTE AL  MES JULIO 2025</t>
  </si>
  <si>
    <t>JOSE ANIBAL REYES MARTE</t>
  </si>
  <si>
    <t>MASSIEL MONTAÑO RODRIGUEZ</t>
  </si>
  <si>
    <t>ENCARGADA DE LA DIVISION DE DESARROLLO INSTITUCIONAL Y CALIDAD EN LA GESTION</t>
  </si>
  <si>
    <t>SECCION DE TRANSPORTACION -CAID</t>
  </si>
  <si>
    <t>MELVIN SANTOS MOTA</t>
  </si>
  <si>
    <t>ENCARGADO DE LA SECCION DE TRANSPORTACION</t>
  </si>
  <si>
    <t>JENSSI ERISON ISIDORE LUCIANO</t>
  </si>
  <si>
    <t>DIVISION DE ACREDITACION Y CERTIFICACION -CAID</t>
  </si>
  <si>
    <t>ENCARGADA DE LA DIVISION DE ACREDITACION Y CERTIFICACION</t>
  </si>
  <si>
    <t>SUPERVISOR DE SEGURIDAD</t>
  </si>
  <si>
    <t>JESSICA CUEVAS JIMENEZ</t>
  </si>
  <si>
    <t>JUAN FRANCISCO ENCARNACION ENCARNAC</t>
  </si>
  <si>
    <t>STARLIN ELIAS HERNANDEZ LEDESMA</t>
  </si>
  <si>
    <t>ENCARGADA DE LA SECCION DE CORRESPONDENCIA Y ARCHIVO</t>
  </si>
  <si>
    <t>ODALYS ISABEL MORETA BEATO</t>
  </si>
  <si>
    <t>EMELIN SUERO ZABALA</t>
  </si>
  <si>
    <t>FRANCISCO RAMIREZ TAVERAS</t>
  </si>
  <si>
    <t>MARILIN ACOSTA</t>
  </si>
  <si>
    <t>RAMONA MONTERO</t>
  </si>
  <si>
    <t>DINORAH GUERRERO DE JESUS</t>
  </si>
  <si>
    <t>YEIMI ARIAS MATEO</t>
  </si>
  <si>
    <t>NATALY ACOSTA MEDRANO</t>
  </si>
  <si>
    <t>ELY GARCIA MARTINEZ</t>
  </si>
  <si>
    <t>CHOFER II</t>
  </si>
  <si>
    <t>LOGAN ANTONIO MATEO</t>
  </si>
  <si>
    <t>NATHANAEL MATIAS NOVAS</t>
  </si>
  <si>
    <t>SORANGEL VASQUEZ DUVAL</t>
  </si>
  <si>
    <t>NATALI DEL ROSARIO BUENO LORA</t>
  </si>
  <si>
    <t>SOFIA MARLENE VASQUEZ PEREZ</t>
  </si>
  <si>
    <t>SUSANA YUBELKYS HERNANDEZ PEÑA</t>
  </si>
  <si>
    <t>MILUXI LOPEZ ASTACIO</t>
  </si>
  <si>
    <t>CAMILA MARIA HERNANDEZ TORRES</t>
  </si>
  <si>
    <t>FATIMA ARISLEIDY PICHARDO GARCIA</t>
  </si>
  <si>
    <t>ANGEL ALBERTO MORETA GUZMAN</t>
  </si>
  <si>
    <t>INDHIRA ALEXANDRA PEREZ MARTINEZ</t>
  </si>
  <si>
    <t>AMBAR MARIA ALMONTE SOTO</t>
  </si>
  <si>
    <t>TRUDY DE JESUS CASTILLO LOPEZ</t>
  </si>
  <si>
    <t>DORKA AGUSTINA ACEVEDO MARTINEZ</t>
  </si>
  <si>
    <t>LEOCADIA DEL CARMEN RODRIGUEZ BAEZ</t>
  </si>
  <si>
    <t>OLGA LIDIA MARTINEZ PEREZ</t>
  </si>
  <si>
    <t>DEPARTAMENTO DE EVALUACION Y DIAGNOSTICO - CAID SDO</t>
  </si>
  <si>
    <t>COORDINADORA DE APOYO PSICOPEDAGÓGICO</t>
  </si>
  <si>
    <t>COORDINADORA DE ATENCIÓN E INTERVENCIÓN TEMPRANA</t>
  </si>
  <si>
    <t xml:space="preserve">SUPERVISOR DE MANTENIMIENTO </t>
  </si>
  <si>
    <t>SUPERVISORA DE TERAPIA FÍSICA</t>
  </si>
  <si>
    <t>COORDINADORA DE INTERVENCIÓN GRUPAL</t>
  </si>
  <si>
    <t>COORDINADORA DE TERAPIA FAMILIAR</t>
  </si>
  <si>
    <t>WENDY MODESTA NOVAS GUILLEN DE HINOJOSA</t>
  </si>
  <si>
    <t>ENCARGADA DE LA DIVISIÓN MÉDICA</t>
  </si>
  <si>
    <t>ENCARGADO DE LA DIVISION DE ATENCION A GRUPOS Y FAMILIAS</t>
  </si>
  <si>
    <t>COORDINADORA DE INTERVENCION CONDUCTUAL</t>
  </si>
  <si>
    <t>ENCARGADA DE LA DIVISION DE INTERVENCION TERAPEUTICA</t>
  </si>
  <si>
    <t>COORDINADORA DE APOYO PSICOPEDAGOGICO</t>
  </si>
  <si>
    <t>ENCARGADA DE INTERVENCIÓN TERAPEUTICA</t>
  </si>
  <si>
    <t>COORDINADORA TERAPEUTA FAMILIAR</t>
  </si>
  <si>
    <t>ENCARGADA DE ATENCIÓN A GRUPOS Y FAMILIA</t>
  </si>
  <si>
    <t>ENCARGADO DE DIVISION DE EVALUACION DEL DESARROLLO</t>
  </si>
  <si>
    <t>ENCARGADO DE DIVISION DE  EVALUACION DEL DESARROLLO</t>
  </si>
  <si>
    <t>ENCARGADA DE LA DIVISÓN MÉDICA</t>
  </si>
  <si>
    <t xml:space="preserve">COORDINADOR(A) DE DIVISION DE SERVICIO SOCIAL </t>
  </si>
  <si>
    <t>ENCARGADO DE DEPARTAMENTO FINANCIERO</t>
  </si>
  <si>
    <t>SUPERVISOR DE ALMACEN Y SUMINISTRO</t>
  </si>
  <si>
    <t>SUPERVISOR DE TRANSPORTACION</t>
  </si>
  <si>
    <t>LEANLLY JOSEFINA ALMONTE SANTOS</t>
  </si>
  <si>
    <t>ENCARGADO DEL DEPARTAMENTO DE EVALUACIÓN Y DIAGNÓSTICO</t>
  </si>
  <si>
    <t>ALICIA MARGARITA LOPEZ-PEHNA ROMAN</t>
  </si>
  <si>
    <t>DIVISION DE INTERVENCION TERAPEUTICA- CAID STGO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</si>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</sst>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  <numFmt numFmtId="172" formatCode="&quot;$&quot;#,##0.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0" borderId="18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39" fontId="3" fillId="0" borderId="37" xfId="1" applyNumberFormat="1" applyFont="1" applyFill="1" applyBorder="1" applyAlignment="1">
      <alignment horizontal="right" vertical="center"/>
    </xf>
    <xf numFmtId="39" fontId="23" fillId="0" borderId="15" xfId="1" applyNumberFormat="1" applyFont="1" applyFill="1" applyBorder="1" applyAlignment="1">
      <alignment horizontal="right" vertical="center"/>
    </xf>
    <xf numFmtId="37" fontId="0" fillId="0" borderId="12" xfId="1" applyNumberFormat="1" applyFont="1" applyFill="1" applyBorder="1" applyAlignment="1">
      <alignment horizontal="right" vertical="center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9" fontId="0" fillId="0" borderId="6" xfId="0" applyNumberFormat="1" applyBorder="1" applyAlignment="1">
      <alignment vertical="center" wrapText="1"/>
    </xf>
    <xf numFmtId="39" fontId="23" fillId="0" borderId="0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43" fontId="0" fillId="0" borderId="15" xfId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/>
    <xf numFmtId="0" fontId="23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39" fontId="0" fillId="0" borderId="17" xfId="1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9" fontId="0" fillId="0" borderId="43" xfId="1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9" fontId="23" fillId="0" borderId="15" xfId="1" applyNumberFormat="1" applyFont="1" applyFill="1" applyBorder="1" applyAlignment="1">
      <alignment vertical="center"/>
    </xf>
    <xf numFmtId="39" fontId="23" fillId="0" borderId="6" xfId="1" applyNumberFormat="1" applyFont="1" applyFill="1" applyBorder="1" applyAlignment="1">
      <alignment vertical="center"/>
    </xf>
    <xf numFmtId="39" fontId="23" fillId="0" borderId="41" xfId="1" applyNumberFormat="1" applyFont="1" applyFill="1" applyBorder="1" applyAlignment="1">
      <alignment vertical="center"/>
    </xf>
    <xf numFmtId="39" fontId="23" fillId="0" borderId="45" xfId="1" applyNumberFormat="1" applyFont="1" applyFill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43" fontId="23" fillId="0" borderId="46" xfId="1" applyFont="1" applyFill="1" applyBorder="1" applyAlignment="1">
      <alignment horizontal="center" vertical="center"/>
    </xf>
    <xf numFmtId="172" fontId="0" fillId="0" borderId="0" xfId="0" applyNumberFormat="1"/>
    <xf numFmtId="172" fontId="0" fillId="3" borderId="0" xfId="0" applyNumberFormat="1" applyFill="1"/>
    <xf numFmtId="0" fontId="0" fillId="12" borderId="1" xfId="0" applyFill="1" applyBorder="1" applyAlignment="1">
      <alignment horizontal="left" vertical="center" wrapText="1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23" fillId="2" borderId="44" xfId="0" applyFont="1" applyFill="1" applyBorder="1" applyAlignment="1">
      <alignment vertical="center"/>
    </xf>
    <xf numFmtId="0" fontId="23" fillId="2" borderId="25" xfId="0" applyFont="1" applyFill="1" applyBorder="1" applyAlignment="1">
      <alignment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1</xdr:row>
      <xdr:rowOff>223398</xdr:rowOff>
    </xdr:from>
    <xdr:to>
      <xdr:col>1</xdr:col>
      <xdr:colOff>2547937</xdr:colOff>
      <xdr:row>6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73269</xdr:rowOff>
    </xdr:from>
    <xdr:to>
      <xdr:col>2</xdr:col>
      <xdr:colOff>666388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7" customWidth="1"/>
    <col min="2" max="2" width="11.42578125" style="27"/>
    <col min="3" max="3" width="12.5703125" style="27" customWidth="1"/>
    <col min="4" max="4" width="15.85546875" style="27" customWidth="1"/>
    <col min="5" max="8" width="11.42578125" style="27"/>
    <col min="9" max="9" width="13.140625" style="27" bestFit="1" customWidth="1"/>
    <col min="10" max="10" width="18.140625" style="27" bestFit="1" customWidth="1"/>
    <col min="11" max="11" width="13.42578125" style="27" bestFit="1" customWidth="1"/>
    <col min="12" max="12" width="24" style="27" customWidth="1"/>
    <col min="13" max="13" width="21.85546875" style="27" customWidth="1"/>
    <col min="14" max="16" width="11.42578125" style="27"/>
    <col min="17" max="17" width="39.85546875" style="27" customWidth="1"/>
    <col min="18" max="18" width="50.85546875" style="27" customWidth="1"/>
    <col min="19" max="16384" width="11.42578125" style="27"/>
  </cols>
  <sheetData>
    <row r="2" spans="2:18" ht="15.75" thickBot="1" x14ac:dyDescent="0.3"/>
    <row r="3" spans="2:18" ht="16.5" thickBot="1" x14ac:dyDescent="0.3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65" t="s">
        <v>365</v>
      </c>
      <c r="R3" s="266"/>
    </row>
    <row r="4" spans="2:18" ht="15.75" x14ac:dyDescent="0.25">
      <c r="B4" s="267" t="s">
        <v>366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30"/>
      <c r="O4" s="29"/>
      <c r="P4" s="29"/>
      <c r="Q4" s="31" t="s">
        <v>367</v>
      </c>
      <c r="R4" s="31" t="s">
        <v>368</v>
      </c>
    </row>
    <row r="5" spans="2:18" ht="27.75" customHeight="1" thickBot="1" x14ac:dyDescent="0.3">
      <c r="B5" s="32"/>
      <c r="C5" s="33"/>
      <c r="D5" s="33"/>
      <c r="E5" s="33"/>
      <c r="F5" s="269" t="s">
        <v>369</v>
      </c>
      <c r="G5" s="270"/>
      <c r="H5" s="34"/>
      <c r="I5" s="271" t="s">
        <v>370</v>
      </c>
      <c r="J5" s="271"/>
      <c r="K5" s="271"/>
      <c r="L5" s="272"/>
      <c r="M5" s="272"/>
      <c r="N5" s="29"/>
      <c r="O5" s="30"/>
      <c r="P5" s="30"/>
      <c r="Q5" s="35" t="s">
        <v>371</v>
      </c>
      <c r="R5" s="35" t="s">
        <v>372</v>
      </c>
    </row>
    <row r="6" spans="2:18" ht="33.75" customHeight="1" x14ac:dyDescent="0.25">
      <c r="B6" s="36" t="s">
        <v>373</v>
      </c>
      <c r="C6" s="36" t="s">
        <v>374</v>
      </c>
      <c r="D6" s="84" t="s">
        <v>375</v>
      </c>
      <c r="E6" s="273" t="s">
        <v>376</v>
      </c>
      <c r="F6" s="37" t="s">
        <v>377</v>
      </c>
      <c r="G6" s="38" t="s">
        <v>378</v>
      </c>
      <c r="H6" s="39" t="s">
        <v>379</v>
      </c>
      <c r="I6" s="40">
        <v>0.15</v>
      </c>
      <c r="J6" s="40">
        <v>0.2</v>
      </c>
      <c r="K6" s="40">
        <v>0.25</v>
      </c>
      <c r="L6" s="275" t="s">
        <v>380</v>
      </c>
      <c r="M6" s="275"/>
      <c r="N6" s="41"/>
      <c r="O6" s="30"/>
      <c r="P6" s="30"/>
      <c r="Q6" s="35" t="s">
        <v>381</v>
      </c>
      <c r="R6" s="35" t="s">
        <v>382</v>
      </c>
    </row>
    <row r="7" spans="2:18" ht="30" customHeight="1" x14ac:dyDescent="0.25">
      <c r="B7" s="42">
        <v>416220</v>
      </c>
      <c r="C7" s="43">
        <v>12</v>
      </c>
      <c r="D7" s="42">
        <f>+B7/C7</f>
        <v>34685</v>
      </c>
      <c r="E7" s="274"/>
      <c r="F7" s="44">
        <v>0</v>
      </c>
      <c r="G7" s="44">
        <f>+D7</f>
        <v>34685</v>
      </c>
      <c r="H7" s="45" t="s">
        <v>383</v>
      </c>
      <c r="I7" s="46"/>
      <c r="J7" s="47"/>
      <c r="K7" s="47"/>
      <c r="L7" s="276" t="str">
        <f>+H7</f>
        <v>Exento</v>
      </c>
      <c r="M7" s="276"/>
      <c r="N7" s="29"/>
      <c r="O7" s="30"/>
      <c r="P7" s="30"/>
      <c r="Q7" s="35" t="s">
        <v>384</v>
      </c>
      <c r="R7" s="35" t="s">
        <v>385</v>
      </c>
    </row>
    <row r="8" spans="2:18" ht="23.25" customHeight="1" thickBot="1" x14ac:dyDescent="0.3">
      <c r="B8" s="42">
        <v>624329</v>
      </c>
      <c r="C8" s="43">
        <v>12</v>
      </c>
      <c r="D8" s="42">
        <f>+B8/C8</f>
        <v>52027.416666666664</v>
      </c>
      <c r="E8" s="274"/>
      <c r="F8" s="48">
        <f>+G7+0.01</f>
        <v>34685.01</v>
      </c>
      <c r="G8" s="49">
        <f>+D8</f>
        <v>52027.416666666664</v>
      </c>
      <c r="H8" s="50">
        <f>+G8-F8</f>
        <v>17342.406666666662</v>
      </c>
      <c r="I8" s="51">
        <f>+H8*I6</f>
        <v>2601.3609999999994</v>
      </c>
      <c r="J8" s="51">
        <f>+H9*J6</f>
        <v>4046.5646666666671</v>
      </c>
      <c r="K8" s="52">
        <f>+H10*K6</f>
        <v>0</v>
      </c>
      <c r="L8" s="260" t="s">
        <v>386</v>
      </c>
      <c r="M8" s="260"/>
      <c r="N8" s="53"/>
      <c r="O8" s="30"/>
      <c r="P8" s="30"/>
      <c r="Q8" s="35" t="s">
        <v>387</v>
      </c>
      <c r="R8" s="35" t="s">
        <v>388</v>
      </c>
    </row>
    <row r="9" spans="2:18" ht="17.25" customHeight="1" thickBot="1" x14ac:dyDescent="0.3">
      <c r="B9" s="42">
        <v>624329.01</v>
      </c>
      <c r="C9" s="43">
        <v>12</v>
      </c>
      <c r="D9" s="42">
        <f>+B9/C9</f>
        <v>52027.417500000003</v>
      </c>
      <c r="E9" s="274"/>
      <c r="F9" s="48">
        <f>G8+0.01</f>
        <v>52027.426666666666</v>
      </c>
      <c r="G9" s="49">
        <f>+D10</f>
        <v>72260.25</v>
      </c>
      <c r="H9" s="50">
        <f>+G9-F9</f>
        <v>20232.823333333334</v>
      </c>
      <c r="I9" s="46"/>
      <c r="J9" s="47"/>
      <c r="K9" s="47"/>
      <c r="L9" s="260" t="s">
        <v>389</v>
      </c>
      <c r="M9" s="260"/>
      <c r="N9" s="29"/>
      <c r="O9" s="30"/>
      <c r="P9" s="30"/>
      <c r="Q9" s="258" t="s">
        <v>390</v>
      </c>
      <c r="R9" s="259"/>
    </row>
    <row r="10" spans="2:18" ht="17.25" customHeight="1" x14ac:dyDescent="0.25">
      <c r="B10" s="42">
        <v>867123</v>
      </c>
      <c r="C10" s="43">
        <v>12</v>
      </c>
      <c r="D10" s="42">
        <f>+B10/C10</f>
        <v>72260.25</v>
      </c>
      <c r="E10" s="274"/>
      <c r="F10" s="48">
        <f>+G9+0.01</f>
        <v>72260.259999999995</v>
      </c>
      <c r="G10" s="54" t="s">
        <v>391</v>
      </c>
      <c r="H10" s="50"/>
      <c r="I10" s="46"/>
      <c r="J10" s="47"/>
      <c r="K10" s="47"/>
      <c r="L10" s="260" t="s">
        <v>392</v>
      </c>
      <c r="M10" s="260"/>
      <c r="N10" s="29"/>
      <c r="O10" s="29"/>
      <c r="P10" s="30"/>
      <c r="Q10" s="30"/>
      <c r="R10" s="30"/>
    </row>
    <row r="11" spans="2:18" ht="16.5" thickBot="1" x14ac:dyDescent="0.3">
      <c r="B11" s="28"/>
      <c r="C11" s="29"/>
      <c r="D11" s="29"/>
      <c r="E11" s="29"/>
      <c r="F11" s="29"/>
      <c r="G11" s="55"/>
      <c r="H11" s="56"/>
      <c r="I11" s="56"/>
      <c r="J11" s="29"/>
      <c r="K11" s="29"/>
      <c r="L11" s="261">
        <f>+I8+J8</f>
        <v>6647.9256666666661</v>
      </c>
      <c r="M11" s="261"/>
      <c r="N11" s="29"/>
      <c r="O11" s="29"/>
      <c r="P11" s="29"/>
      <c r="Q11" s="29"/>
      <c r="R11" s="29"/>
    </row>
    <row r="12" spans="2:18" ht="15.75" x14ac:dyDescent="0.25">
      <c r="B12" s="262" t="s">
        <v>393</v>
      </c>
      <c r="C12" s="263"/>
      <c r="D12" s="264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2:18" ht="30" customHeight="1" thickBot="1" x14ac:dyDescent="0.3">
      <c r="B13" s="57"/>
      <c r="C13" s="58" t="s">
        <v>370</v>
      </c>
      <c r="D13" s="59" t="s">
        <v>394</v>
      </c>
      <c r="E13" s="29"/>
      <c r="F13" s="29"/>
      <c r="G13" s="29"/>
      <c r="H13" s="29"/>
      <c r="I13" s="29"/>
      <c r="J13" s="60"/>
      <c r="K13" s="29"/>
      <c r="L13" s="29"/>
      <c r="M13" s="29"/>
      <c r="N13" s="29"/>
      <c r="O13" s="29"/>
      <c r="P13" s="29"/>
      <c r="Q13" s="29"/>
      <c r="R13" s="29"/>
    </row>
    <row r="14" spans="2:18" ht="15.75" x14ac:dyDescent="0.25">
      <c r="B14" s="61" t="s">
        <v>0</v>
      </c>
      <c r="C14" s="62">
        <v>2.87E-2</v>
      </c>
      <c r="D14" s="63">
        <v>325250</v>
      </c>
      <c r="E14" s="29"/>
      <c r="F14" s="29"/>
      <c r="G14" s="64" t="s">
        <v>395</v>
      </c>
      <c r="H14" s="29" t="s">
        <v>0</v>
      </c>
      <c r="I14" s="65">
        <v>7.0999999999999994E-2</v>
      </c>
      <c r="J14" s="53">
        <v>1278</v>
      </c>
      <c r="K14" s="53"/>
      <c r="L14" s="29"/>
      <c r="M14" s="29"/>
      <c r="N14" s="29"/>
      <c r="O14" s="29"/>
      <c r="P14" s="29"/>
      <c r="Q14" s="29"/>
      <c r="R14" s="29"/>
    </row>
    <row r="15" spans="2:18" ht="16.5" thickBot="1" x14ac:dyDescent="0.3">
      <c r="B15" s="66" t="s">
        <v>2</v>
      </c>
      <c r="C15" s="67">
        <v>3.04E-2</v>
      </c>
      <c r="D15" s="68">
        <v>162625</v>
      </c>
      <c r="E15" s="29"/>
      <c r="F15" s="29"/>
      <c r="G15" s="29" t="s">
        <v>396</v>
      </c>
      <c r="H15" s="29" t="s">
        <v>2</v>
      </c>
      <c r="I15" s="65">
        <v>7.0900000000000005E-2</v>
      </c>
      <c r="J15" s="53">
        <v>1276.2</v>
      </c>
      <c r="K15" s="53"/>
      <c r="L15" s="29"/>
      <c r="M15" s="29"/>
      <c r="N15" s="29"/>
      <c r="O15" s="29"/>
      <c r="P15" s="29"/>
      <c r="Q15" s="29"/>
      <c r="R15" s="29"/>
    </row>
    <row r="16" spans="2:18" ht="32.25" thickBot="1" x14ac:dyDescent="0.3">
      <c r="B16" s="69" t="s">
        <v>397</v>
      </c>
      <c r="C16" s="70">
        <f>(C14+C15)</f>
        <v>5.91E-2</v>
      </c>
      <c r="D16" s="71"/>
      <c r="E16" s="29"/>
      <c r="F16" s="29"/>
      <c r="G16" s="72" t="s">
        <v>398</v>
      </c>
      <c r="H16" s="29" t="s">
        <v>399</v>
      </c>
      <c r="I16" s="65">
        <v>1.2E-2</v>
      </c>
      <c r="J16" s="53">
        <v>216</v>
      </c>
      <c r="K16" s="53"/>
      <c r="L16" s="29"/>
      <c r="M16" s="29"/>
      <c r="N16" s="29"/>
      <c r="O16" s="29"/>
      <c r="P16" s="29"/>
      <c r="Q16" s="29"/>
      <c r="R16" s="29"/>
    </row>
    <row r="17" spans="8:11" ht="16.5" thickBot="1" x14ac:dyDescent="0.3">
      <c r="H17" s="73" t="s">
        <v>400</v>
      </c>
      <c r="I17" s="74">
        <f>SUM(I14:I16)</f>
        <v>0.15390000000000001</v>
      </c>
      <c r="J17" s="75">
        <f>SUM(J14:J16)</f>
        <v>2770.2</v>
      </c>
    </row>
    <row r="18" spans="8:11" ht="15.75" thickTop="1" x14ac:dyDescent="0.25">
      <c r="J18" s="76"/>
    </row>
    <row r="20" spans="8:11" x14ac:dyDescent="0.25">
      <c r="K20" s="77">
        <v>2341371</v>
      </c>
    </row>
    <row r="21" spans="8:11" x14ac:dyDescent="0.25">
      <c r="K21" s="77">
        <v>2238609.15</v>
      </c>
    </row>
    <row r="22" spans="8:11" x14ac:dyDescent="0.25">
      <c r="I22" s="77">
        <v>459000</v>
      </c>
      <c r="K22" s="77">
        <f>+K20-K21</f>
        <v>102761.85000000009</v>
      </c>
    </row>
    <row r="23" spans="8:11" x14ac:dyDescent="0.25">
      <c r="I23" s="77">
        <v>500000</v>
      </c>
    </row>
    <row r="24" spans="8:11" x14ac:dyDescent="0.25">
      <c r="I24" s="77">
        <v>200000</v>
      </c>
    </row>
    <row r="25" spans="8:11" x14ac:dyDescent="0.25">
      <c r="I25" s="77">
        <v>100000</v>
      </c>
    </row>
    <row r="26" spans="8:11" x14ac:dyDescent="0.25">
      <c r="I26" s="76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03"/>
  <sheetViews>
    <sheetView showGridLines="0" topLeftCell="C617" zoomScale="80" zoomScaleNormal="80" zoomScaleSheetLayoutView="80" workbookViewId="0">
      <selection sqref="A1:O634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0" width="19" style="17" customWidth="1"/>
    <col min="11" max="11" width="19" style="5" customWidth="1"/>
    <col min="12" max="12" width="22.140625" style="17" customWidth="1"/>
    <col min="13" max="13" width="19" style="17" customWidth="1"/>
    <col min="14" max="14" width="24.85546875" style="17" customWidth="1"/>
    <col min="15" max="15" width="20.28515625" style="17" customWidth="1"/>
  </cols>
  <sheetData>
    <row r="1" spans="1:17" ht="38.25" customHeight="1" x14ac:dyDescent="0.2">
      <c r="A1" s="160"/>
      <c r="B1" s="5"/>
      <c r="G1" s="2"/>
    </row>
    <row r="2" spans="1:17" ht="38.25" customHeight="1" x14ac:dyDescent="0.2">
      <c r="A2" s="160"/>
      <c r="B2" s="5"/>
      <c r="G2" s="2"/>
      <c r="Q2" s="26"/>
    </row>
    <row r="3" spans="1:17" ht="19.5" customHeight="1" x14ac:dyDescent="0.2">
      <c r="A3" s="160"/>
      <c r="B3" s="5"/>
      <c r="G3" s="2"/>
    </row>
    <row r="4" spans="1:17" x14ac:dyDescent="0.2">
      <c r="A4" s="160"/>
      <c r="B4" s="282"/>
      <c r="C4" s="282"/>
      <c r="D4" s="282"/>
      <c r="E4" s="282"/>
      <c r="F4" s="282"/>
      <c r="G4" s="282"/>
      <c r="H4" s="282"/>
      <c r="I4" s="282"/>
      <c r="J4" s="282"/>
      <c r="K4" s="283"/>
      <c r="L4" s="284"/>
      <c r="M4" s="285"/>
      <c r="N4" s="282"/>
      <c r="O4" s="142"/>
    </row>
    <row r="5" spans="1:17" x14ac:dyDescent="0.2">
      <c r="A5" s="160"/>
      <c r="B5" s="286" t="s">
        <v>9</v>
      </c>
      <c r="C5" s="286"/>
      <c r="D5" s="286"/>
      <c r="E5" s="286"/>
      <c r="F5" s="286"/>
      <c r="G5" s="286"/>
      <c r="H5" s="286"/>
      <c r="I5" s="286"/>
      <c r="J5" s="286"/>
      <c r="K5" s="287"/>
      <c r="L5" s="288"/>
      <c r="M5" s="289"/>
      <c r="N5" s="286"/>
      <c r="O5" s="161"/>
    </row>
    <row r="6" spans="1:17" x14ac:dyDescent="0.2">
      <c r="A6" s="160"/>
      <c r="B6" s="286" t="s">
        <v>1001</v>
      </c>
      <c r="C6" s="286"/>
      <c r="D6" s="286"/>
      <c r="E6" s="286"/>
      <c r="F6" s="286"/>
      <c r="G6" s="286"/>
      <c r="H6" s="286"/>
      <c r="I6" s="286"/>
      <c r="J6" s="286"/>
      <c r="K6" s="287"/>
      <c r="L6" s="288"/>
      <c r="M6" s="289"/>
      <c r="N6" s="286"/>
      <c r="O6" s="161"/>
    </row>
    <row r="7" spans="1:17" x14ac:dyDescent="0.2">
      <c r="A7" s="160"/>
      <c r="B7" s="290" t="s">
        <v>571</v>
      </c>
      <c r="C7" s="290"/>
      <c r="D7" s="290"/>
      <c r="E7" s="290"/>
      <c r="F7" s="290"/>
      <c r="G7" s="290"/>
      <c r="H7" s="290"/>
      <c r="I7" s="290"/>
      <c r="J7" s="290"/>
      <c r="K7" s="291"/>
      <c r="L7" s="292"/>
      <c r="M7" s="293"/>
      <c r="N7" s="290"/>
      <c r="O7" s="2"/>
    </row>
    <row r="8" spans="1:17" ht="18" customHeight="1" thickBot="1" x14ac:dyDescent="0.25"/>
    <row r="9" spans="1:17" ht="29.25" customHeight="1" x14ac:dyDescent="0.2">
      <c r="A9" s="86" t="s">
        <v>16</v>
      </c>
      <c r="B9" s="87" t="s">
        <v>5</v>
      </c>
      <c r="C9" s="87" t="s">
        <v>17</v>
      </c>
      <c r="D9" s="87" t="s">
        <v>6</v>
      </c>
      <c r="E9" s="87" t="s">
        <v>279</v>
      </c>
      <c r="F9" s="87" t="s">
        <v>18</v>
      </c>
      <c r="G9" s="87" t="s">
        <v>323</v>
      </c>
      <c r="H9" s="87" t="s">
        <v>319</v>
      </c>
      <c r="I9" s="87" t="s">
        <v>324</v>
      </c>
      <c r="J9" s="87" t="s">
        <v>0</v>
      </c>
      <c r="K9" s="87" t="s">
        <v>1</v>
      </c>
      <c r="L9" s="87" t="s">
        <v>2</v>
      </c>
      <c r="M9" s="87" t="s">
        <v>321</v>
      </c>
      <c r="N9" s="88" t="s">
        <v>322</v>
      </c>
      <c r="O9" s="89" t="s">
        <v>10</v>
      </c>
    </row>
    <row r="10" spans="1:17" ht="29.25" customHeight="1" x14ac:dyDescent="0.2">
      <c r="A10" s="294" t="s">
        <v>586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</row>
    <row r="11" spans="1:17" ht="36.75" customHeight="1" x14ac:dyDescent="0.2">
      <c r="A11" s="225">
        <v>1</v>
      </c>
      <c r="B11" s="227" t="s">
        <v>104</v>
      </c>
      <c r="C11" s="227" t="s">
        <v>412</v>
      </c>
      <c r="D11" s="227" t="s">
        <v>252</v>
      </c>
      <c r="E11" s="228" t="s">
        <v>280</v>
      </c>
      <c r="F11" s="228" t="s">
        <v>281</v>
      </c>
      <c r="G11" s="162">
        <v>250000</v>
      </c>
      <c r="H11" s="162">
        <v>0</v>
      </c>
      <c r="I11" s="162">
        <f>SUM(G11:H11)</f>
        <v>250000</v>
      </c>
      <c r="J11" s="163">
        <f>IF(G11&gt;=Datos!$D$14,(Datos!$D$14*Datos!$C$14),IF(G11&lt;=Datos!$D$14,(G11*Datos!$C$14)))</f>
        <v>7175</v>
      </c>
      <c r="K11" s="164">
        <v>47641.83</v>
      </c>
      <c r="L11" s="163">
        <v>6589.14</v>
      </c>
      <c r="M11" s="162">
        <v>25</v>
      </c>
      <c r="N11" s="162">
        <f>SUM(J11:M11)</f>
        <v>61430.97</v>
      </c>
      <c r="O11" s="191">
        <f>+G11-N11</f>
        <v>188569.03</v>
      </c>
    </row>
    <row r="12" spans="1:17" ht="36.75" customHeight="1" x14ac:dyDescent="0.2">
      <c r="A12" s="225">
        <v>2</v>
      </c>
      <c r="B12" s="227" t="s">
        <v>303</v>
      </c>
      <c r="C12" s="227" t="s">
        <v>412</v>
      </c>
      <c r="D12" s="227" t="s">
        <v>314</v>
      </c>
      <c r="E12" s="228" t="s">
        <v>280</v>
      </c>
      <c r="F12" s="228" t="s">
        <v>19</v>
      </c>
      <c r="G12" s="162">
        <v>145000</v>
      </c>
      <c r="H12" s="162">
        <v>0</v>
      </c>
      <c r="I12" s="162">
        <f t="shared" ref="I12:I13" si="0">SUM(G12:H12)</f>
        <v>145000</v>
      </c>
      <c r="J12" s="163">
        <f>IF(G12&gt;=Datos!$D$14,(Datos!$D$14*Datos!$C$14),IF(G12&lt;=Datos!$D$14,(G12*Datos!$C$14)))</f>
        <v>4161.5</v>
      </c>
      <c r="K12" s="164">
        <f>IF((G12-J12-L12)&lt;=Datos!$G$7,"0",IF((G12-J12-L12)&lt;=Datos!$G$8,((G12-J12-L12)-Datos!$F$8)*Datos!$I$6,IF((G12-J12-L12)&lt;=Datos!$G$9,Datos!$I$8+((G12-J12-L12)-Datos!$F$9)*Datos!$J$6,IF((G12-J12-L12)&gt;=Datos!$F$10,(Datos!$I$8+Datos!$J$8)+((G12-J12-L12)-Datos!$F$10)*Datos!$K$6))))</f>
        <v>22690.485666666667</v>
      </c>
      <c r="L12" s="163">
        <f>IF(G12&gt;=Datos!$D$15,(Datos!$D$15*Datos!$C$15),IF(G12&lt;=Datos!$D$15,(G12*Datos!$C$15)))</f>
        <v>4408</v>
      </c>
      <c r="M12" s="162">
        <v>25</v>
      </c>
      <c r="N12" s="162">
        <f t="shared" ref="N12" si="1">SUM(J12:M12)</f>
        <v>31284.985666666667</v>
      </c>
      <c r="O12" s="191">
        <f t="shared" ref="O12" si="2">+G12-N12</f>
        <v>113715.01433333333</v>
      </c>
    </row>
    <row r="13" spans="1:17" ht="36.75" customHeight="1" x14ac:dyDescent="0.2">
      <c r="A13" s="225">
        <v>3</v>
      </c>
      <c r="B13" s="229" t="s">
        <v>25</v>
      </c>
      <c r="C13" s="227" t="s">
        <v>412</v>
      </c>
      <c r="D13" s="229" t="s">
        <v>413</v>
      </c>
      <c r="E13" s="230" t="s">
        <v>280</v>
      </c>
      <c r="F13" s="231" t="s">
        <v>19</v>
      </c>
      <c r="G13" s="163">
        <v>100000</v>
      </c>
      <c r="H13" s="163">
        <v>0</v>
      </c>
      <c r="I13" s="162">
        <f t="shared" si="0"/>
        <v>100000</v>
      </c>
      <c r="J13" s="163">
        <f>IF(G13&gt;=Datos!$D$14,(Datos!$D$14*Datos!$C$14),IF(G13&lt;=Datos!$D$14,(G13*Datos!$C$14)))</f>
        <v>2870</v>
      </c>
      <c r="K13" s="164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12105.360666666667</v>
      </c>
      <c r="L13" s="163">
        <f>IF(G13&gt;=Datos!$D$15,(Datos!$D$15*Datos!$C$15),IF(G13&lt;=Datos!$D$15,(G13*Datos!$C$15)))</f>
        <v>3040</v>
      </c>
      <c r="M13" s="163">
        <v>25</v>
      </c>
      <c r="N13" s="162">
        <f>SUM(J13:M13)</f>
        <v>18040.360666666667</v>
      </c>
      <c r="O13" s="191">
        <f>+G13-N13</f>
        <v>81959.639333333325</v>
      </c>
    </row>
    <row r="14" spans="1:17" s="234" customFormat="1" ht="36.75" customHeight="1" x14ac:dyDescent="0.2">
      <c r="A14" s="277" t="s">
        <v>455</v>
      </c>
      <c r="B14" s="278"/>
      <c r="C14" s="232">
        <v>3</v>
      </c>
      <c r="D14" s="232"/>
      <c r="E14" s="233"/>
      <c r="F14" s="166"/>
      <c r="G14" s="167">
        <f t="shared" ref="G14:O14" si="3">SUM(G11:G13)</f>
        <v>495000</v>
      </c>
      <c r="H14" s="167">
        <f t="shared" si="3"/>
        <v>0</v>
      </c>
      <c r="I14" s="167">
        <f t="shared" si="3"/>
        <v>495000</v>
      </c>
      <c r="J14" s="167">
        <f t="shared" si="3"/>
        <v>14206.5</v>
      </c>
      <c r="K14" s="167">
        <f t="shared" si="3"/>
        <v>82437.676333333337</v>
      </c>
      <c r="L14" s="167">
        <f t="shared" si="3"/>
        <v>14037.14</v>
      </c>
      <c r="M14" s="167">
        <f t="shared" si="3"/>
        <v>75</v>
      </c>
      <c r="N14" s="167">
        <f t="shared" si="3"/>
        <v>110756.31633333335</v>
      </c>
      <c r="O14" s="167">
        <f t="shared" si="3"/>
        <v>384243.68366666662</v>
      </c>
    </row>
    <row r="15" spans="1:17" ht="36.75" customHeight="1" x14ac:dyDescent="0.2">
      <c r="A15" s="277" t="s">
        <v>491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9"/>
    </row>
    <row r="16" spans="1:17" ht="36.75" customHeight="1" x14ac:dyDescent="0.2">
      <c r="A16" s="225">
        <v>4</v>
      </c>
      <c r="B16" s="227" t="s">
        <v>539</v>
      </c>
      <c r="C16" s="227" t="s">
        <v>412</v>
      </c>
      <c r="D16" s="227" t="s">
        <v>243</v>
      </c>
      <c r="E16" s="228" t="s">
        <v>280</v>
      </c>
      <c r="F16" s="228" t="s">
        <v>19</v>
      </c>
      <c r="G16" s="162">
        <v>33000</v>
      </c>
      <c r="H16" s="162">
        <v>0</v>
      </c>
      <c r="I16" s="162">
        <v>33000</v>
      </c>
      <c r="J16" s="163">
        <f>IF(G16&gt;=Datos!$D$14,(Datos!$D$14*Datos!$C$14),IF(G16&lt;=Datos!$D$14,(G16*Datos!$C$14)))</f>
        <v>947.1</v>
      </c>
      <c r="K16" s="164" t="str">
        <f>IF((G16-J16-L16)&lt;=Datos!$G$7,"0",IF((G16-J16-L16)&lt;=Datos!$G$8,((G16-J16-L16)-Datos!$F$8)*Datos!$I$6,IF((G16-J16-L16)&lt;=Datos!$G$9,Datos!$I$8+((G16-J16-L16)-Datos!$F$9)*Datos!$J$6,IF((G16-J16-L16)&gt;=Datos!$F$10,(Datos!$I$8+Datos!$J$8)+((G16-J16-L16)-Datos!$F$10)*Datos!$K$6))))</f>
        <v>0</v>
      </c>
      <c r="L16" s="163">
        <f>IF(G16&gt;=Datos!$D$15,(Datos!$D$15*Datos!$C$15),IF(G16&lt;=Datos!$D$15,(G16*Datos!$C$15)))</f>
        <v>1003.2</v>
      </c>
      <c r="M16" s="162">
        <v>25</v>
      </c>
      <c r="N16" s="163">
        <f>SUM(J16:M16)</f>
        <v>1975.3000000000002</v>
      </c>
      <c r="O16" s="191">
        <f>+G16-N16</f>
        <v>31024.7</v>
      </c>
    </row>
    <row r="17" spans="1:15" ht="36.75" customHeight="1" x14ac:dyDescent="0.2">
      <c r="A17" s="280" t="s">
        <v>455</v>
      </c>
      <c r="B17" s="281"/>
      <c r="C17" s="235">
        <v>1</v>
      </c>
      <c r="D17" s="236"/>
      <c r="E17" s="237"/>
      <c r="F17" s="238"/>
      <c r="G17" s="212">
        <f>SUM(G16:G16)</f>
        <v>33000</v>
      </c>
      <c r="H17" s="212">
        <f t="shared" ref="H17:O17" si="4">SUM(H16:H16)</f>
        <v>0</v>
      </c>
      <c r="I17" s="212">
        <f t="shared" si="4"/>
        <v>33000</v>
      </c>
      <c r="J17" s="212">
        <f t="shared" si="4"/>
        <v>947.1</v>
      </c>
      <c r="K17" s="212">
        <f t="shared" si="4"/>
        <v>0</v>
      </c>
      <c r="L17" s="212">
        <f t="shared" si="4"/>
        <v>1003.2</v>
      </c>
      <c r="M17" s="212">
        <f t="shared" si="4"/>
        <v>25</v>
      </c>
      <c r="N17" s="212">
        <f t="shared" si="4"/>
        <v>1975.3000000000002</v>
      </c>
      <c r="O17" s="212">
        <f t="shared" si="4"/>
        <v>31024.7</v>
      </c>
    </row>
    <row r="18" spans="1:15" ht="36.75" customHeight="1" x14ac:dyDescent="0.2">
      <c r="A18" s="277" t="s">
        <v>456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9"/>
    </row>
    <row r="19" spans="1:15" ht="36.75" customHeight="1" x14ac:dyDescent="0.2">
      <c r="A19" s="225">
        <v>5</v>
      </c>
      <c r="B19" s="227" t="s">
        <v>198</v>
      </c>
      <c r="C19" s="227" t="s">
        <v>286</v>
      </c>
      <c r="D19" s="227" t="s">
        <v>585</v>
      </c>
      <c r="E19" s="228" t="s">
        <v>280</v>
      </c>
      <c r="F19" s="228" t="s">
        <v>19</v>
      </c>
      <c r="G19" s="162">
        <v>60000</v>
      </c>
      <c r="H19" s="162">
        <v>0</v>
      </c>
      <c r="I19" s="162">
        <f>SUM(G19:H19)</f>
        <v>60000</v>
      </c>
      <c r="J19" s="163">
        <f>IF(G19&gt;=Datos!$D$14,(Datos!$D$14*Datos!$C$14),IF(G19&lt;=Datos!$D$14,(G19*Datos!$C$14)))</f>
        <v>1722</v>
      </c>
      <c r="K19" s="164">
        <f>IF((G19-J19-L19)&lt;=Datos!$G$7,"0",IF((G19-J19-L19)&lt;=Datos!$G$8,((G19-J19-L19)-Datos!$F$8)*Datos!$I$6,IF((G19-J19-L19)&lt;=Datos!$G$9,Datos!$I$8+((G19-J19-L19)-Datos!$F$9)*Datos!$J$6,IF((G19-J19-L19)&gt;=Datos!$F$10,(Datos!$I$8+Datos!$J$8)+((G19-J19-L19)-Datos!$F$10)*Datos!$K$6))))</f>
        <v>3486.6756666666661</v>
      </c>
      <c r="L19" s="163">
        <f>IF(G19&gt;=Datos!$D$15,(Datos!$D$15*Datos!$C$15),IF(G19&lt;=Datos!$D$15,(G19*Datos!$C$15)))</f>
        <v>1824</v>
      </c>
      <c r="M19" s="162">
        <v>25</v>
      </c>
      <c r="N19" s="163">
        <f>SUM(J19:M19)</f>
        <v>7057.6756666666661</v>
      </c>
      <c r="O19" s="191">
        <f>+G19-N19</f>
        <v>52942.324333333338</v>
      </c>
    </row>
    <row r="20" spans="1:15" ht="36.75" customHeight="1" x14ac:dyDescent="0.2">
      <c r="A20" s="225">
        <v>6</v>
      </c>
      <c r="B20" s="239" t="s">
        <v>296</v>
      </c>
      <c r="C20" s="239" t="s">
        <v>412</v>
      </c>
      <c r="D20" s="220" t="s">
        <v>312</v>
      </c>
      <c r="E20" s="240" t="s">
        <v>280</v>
      </c>
      <c r="F20" s="240" t="s">
        <v>19</v>
      </c>
      <c r="G20" s="163">
        <v>145000</v>
      </c>
      <c r="H20" s="163">
        <v>0</v>
      </c>
      <c r="I20" s="163">
        <f>SUM(G20:H20)</f>
        <v>145000</v>
      </c>
      <c r="J20" s="163">
        <f>IF(G20&gt;=Datos!$D$14,(Datos!$D$14*Datos!$C$14),IF(G20&lt;=Datos!$D$14,(G20*Datos!$C$14)))</f>
        <v>4161.5</v>
      </c>
      <c r="K20" s="164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22690.485666666667</v>
      </c>
      <c r="L20" s="163">
        <f>IF(G20&gt;=Datos!$D$15,(Datos!$D$15*Datos!$C$15),IF(G20&lt;=Datos!$D$15,(G20*Datos!$C$15)))</f>
        <v>4408</v>
      </c>
      <c r="M20" s="163">
        <v>25</v>
      </c>
      <c r="N20" s="163">
        <f>SUM(J20:M20)</f>
        <v>31284.985666666667</v>
      </c>
      <c r="O20" s="191">
        <f>+G20-N20</f>
        <v>113715.01433333333</v>
      </c>
    </row>
    <row r="21" spans="1:15" ht="36.75" customHeight="1" x14ac:dyDescent="0.2">
      <c r="A21" s="280" t="s">
        <v>455</v>
      </c>
      <c r="B21" s="281"/>
      <c r="C21" s="235">
        <v>2</v>
      </c>
      <c r="D21" s="236"/>
      <c r="E21" s="237"/>
      <c r="F21" s="238"/>
      <c r="G21" s="212">
        <f>SUM(G19:G20)</f>
        <v>205000</v>
      </c>
      <c r="H21" s="212">
        <f t="shared" ref="H21:O21" si="5">SUM(H19:H20)</f>
        <v>0</v>
      </c>
      <c r="I21" s="212">
        <f t="shared" si="5"/>
        <v>205000</v>
      </c>
      <c r="J21" s="212">
        <f t="shared" si="5"/>
        <v>5883.5</v>
      </c>
      <c r="K21" s="212">
        <f t="shared" si="5"/>
        <v>26177.161333333333</v>
      </c>
      <c r="L21" s="212">
        <f t="shared" si="5"/>
        <v>6232</v>
      </c>
      <c r="M21" s="212">
        <f t="shared" si="5"/>
        <v>50</v>
      </c>
      <c r="N21" s="212">
        <f t="shared" si="5"/>
        <v>38342.661333333337</v>
      </c>
      <c r="O21" s="212">
        <f t="shared" si="5"/>
        <v>166657.33866666665</v>
      </c>
    </row>
    <row r="22" spans="1:15" ht="36.75" customHeight="1" x14ac:dyDescent="0.2">
      <c r="A22" s="277" t="s">
        <v>497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9"/>
    </row>
    <row r="23" spans="1:15" ht="36.75" customHeight="1" x14ac:dyDescent="0.2">
      <c r="A23" s="225">
        <v>7</v>
      </c>
      <c r="B23" s="239" t="s">
        <v>556</v>
      </c>
      <c r="C23" s="239" t="s">
        <v>412</v>
      </c>
      <c r="D23" s="239" t="s">
        <v>243</v>
      </c>
      <c r="E23" s="228" t="s">
        <v>280</v>
      </c>
      <c r="F23" s="228" t="s">
        <v>19</v>
      </c>
      <c r="G23" s="163">
        <v>33000</v>
      </c>
      <c r="H23" s="163">
        <v>0</v>
      </c>
      <c r="I23" s="162">
        <f t="shared" ref="I23:I26" si="6">SUM(G23:H23)</f>
        <v>33000</v>
      </c>
      <c r="J23" s="163">
        <f>IF(G23&gt;=Datos!$D$14,(Datos!$D$14*Datos!$C$14),IF(G23&lt;=Datos!$D$14,(G23*Datos!$C$14)))</f>
        <v>947.1</v>
      </c>
      <c r="K23" s="164" t="str">
        <f>IF((G23-J23-L23)&lt;=Datos!$G$7,"0",IF((G23-J23-L23)&lt;=Datos!$G$8,((G23-J23-L23)-Datos!$F$8)*Datos!$I$6,IF((G23-J23-L23)&lt;=Datos!$G$9,Datos!$I$8+((G23-J23-L23)-Datos!$F$9)*Datos!$J$6,IF((G23-J23-L23)&gt;=Datos!$F$10,(Datos!$I$8+Datos!$J$8)+((G23-J23-L23)-Datos!$F$10)*Datos!$K$6))))</f>
        <v>0</v>
      </c>
      <c r="L23" s="163">
        <f>IF(G23&gt;=Datos!$D$15,(Datos!$D$15*Datos!$C$15),IF(G23&lt;=Datos!$D$15,(G23*Datos!$C$15)))</f>
        <v>1003.2</v>
      </c>
      <c r="M23" s="163">
        <v>25</v>
      </c>
      <c r="N23" s="163">
        <f t="shared" ref="N23:N26" si="7">SUM(J23:M23)</f>
        <v>1975.3000000000002</v>
      </c>
      <c r="O23" s="241">
        <f t="shared" ref="O23:O26" si="8">+G23-N23</f>
        <v>31024.7</v>
      </c>
    </row>
    <row r="24" spans="1:15" ht="36.75" customHeight="1" x14ac:dyDescent="0.2">
      <c r="A24" s="225">
        <v>8</v>
      </c>
      <c r="B24" s="239" t="s">
        <v>1017</v>
      </c>
      <c r="C24" s="239" t="s">
        <v>412</v>
      </c>
      <c r="D24" s="239" t="s">
        <v>250</v>
      </c>
      <c r="E24" s="228" t="s">
        <v>280</v>
      </c>
      <c r="F24" s="242" t="s">
        <v>281</v>
      </c>
      <c r="G24" s="163">
        <v>50000</v>
      </c>
      <c r="H24" s="163">
        <v>0</v>
      </c>
      <c r="I24" s="162">
        <f t="shared" ref="I24" si="9">SUM(G24:H24)</f>
        <v>50000</v>
      </c>
      <c r="J24" s="163">
        <f>IF(G24&gt;=Datos!$D$14,(Datos!$D$14*Datos!$C$14),IF(G24&lt;=Datos!$D$14,(G24*Datos!$C$14)))</f>
        <v>1435</v>
      </c>
      <c r="K24" s="164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1853.9984999999997</v>
      </c>
      <c r="L24" s="163">
        <f>IF(G24&gt;=Datos!$D$15,(Datos!$D$15*Datos!$C$15),IF(G24&lt;=Datos!$D$15,(G24*Datos!$C$15)))</f>
        <v>1520</v>
      </c>
      <c r="M24" s="163">
        <v>25</v>
      </c>
      <c r="N24" s="163">
        <f t="shared" ref="N24" si="10">SUM(J24:M24)</f>
        <v>4833.9984999999997</v>
      </c>
      <c r="O24" s="241">
        <f t="shared" ref="O24" si="11">+G24-N24</f>
        <v>45166.001499999998</v>
      </c>
    </row>
    <row r="25" spans="1:15" ht="36.75" customHeight="1" x14ac:dyDescent="0.2">
      <c r="A25" s="225">
        <v>9</v>
      </c>
      <c r="B25" s="226" t="s">
        <v>401</v>
      </c>
      <c r="C25" s="239" t="s">
        <v>412</v>
      </c>
      <c r="D25" s="226" t="s">
        <v>256</v>
      </c>
      <c r="E25" s="242" t="s">
        <v>280</v>
      </c>
      <c r="F25" s="242" t="s">
        <v>19</v>
      </c>
      <c r="G25" s="138">
        <v>55000</v>
      </c>
      <c r="H25" s="162">
        <v>0</v>
      </c>
      <c r="I25" s="162">
        <f t="shared" si="6"/>
        <v>55000</v>
      </c>
      <c r="J25" s="163">
        <f>IF(G25&gt;=Datos!$D$14,(Datos!$D$14*Datos!$C$14),IF(G25&lt;=Datos!$D$14,(G25*Datos!$C$14)))</f>
        <v>1578.5</v>
      </c>
      <c r="K25" s="164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2559.6734999999994</v>
      </c>
      <c r="L25" s="163">
        <f>IF(G25&gt;=Datos!$D$15,(Datos!$D$15*Datos!$C$15),IF(G25&lt;=Datos!$D$15,(G25*Datos!$C$15)))</f>
        <v>1672</v>
      </c>
      <c r="M25" s="162">
        <v>25</v>
      </c>
      <c r="N25" s="163">
        <f t="shared" si="7"/>
        <v>5835.173499999999</v>
      </c>
      <c r="O25" s="241">
        <f t="shared" si="8"/>
        <v>49164.826500000003</v>
      </c>
    </row>
    <row r="26" spans="1:15" ht="36.75" customHeight="1" x14ac:dyDescent="0.2">
      <c r="A26" s="225">
        <v>10</v>
      </c>
      <c r="B26" s="239" t="s">
        <v>297</v>
      </c>
      <c r="C26" s="239" t="s">
        <v>285</v>
      </c>
      <c r="D26" s="239" t="s">
        <v>250</v>
      </c>
      <c r="E26" s="240" t="s">
        <v>280</v>
      </c>
      <c r="F26" s="240" t="s">
        <v>281</v>
      </c>
      <c r="G26" s="163">
        <v>37500</v>
      </c>
      <c r="H26" s="163">
        <v>0</v>
      </c>
      <c r="I26" s="162">
        <f t="shared" si="6"/>
        <v>37500</v>
      </c>
      <c r="J26" s="163">
        <f>IF(G26&gt;=Datos!$D$14,(Datos!$D$14*Datos!$C$14),IF(G26&lt;=Datos!$D$14,(G26*Datos!$C$14)))</f>
        <v>1076.25</v>
      </c>
      <c r="K26" s="164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63">
        <f>IF(G26&gt;=Datos!$D$15,(Datos!$D$15*Datos!$C$15),IF(G26&lt;=Datos!$D$15,(G26*Datos!$C$15)))</f>
        <v>1140</v>
      </c>
      <c r="M26" s="163">
        <v>25</v>
      </c>
      <c r="N26" s="163">
        <f t="shared" si="7"/>
        <v>2331.0609999999997</v>
      </c>
      <c r="O26" s="241">
        <f t="shared" si="8"/>
        <v>35168.938999999998</v>
      </c>
    </row>
    <row r="27" spans="1:15" ht="36.75" customHeight="1" x14ac:dyDescent="0.2">
      <c r="A27" s="225">
        <v>11</v>
      </c>
      <c r="B27" s="227" t="s">
        <v>76</v>
      </c>
      <c r="C27" s="227" t="s">
        <v>286</v>
      </c>
      <c r="D27" s="227" t="s">
        <v>247</v>
      </c>
      <c r="E27" s="228" t="s">
        <v>280</v>
      </c>
      <c r="F27" s="228" t="s">
        <v>19</v>
      </c>
      <c r="G27" s="162">
        <v>70000</v>
      </c>
      <c r="H27" s="162">
        <v>0</v>
      </c>
      <c r="I27" s="162">
        <f t="shared" ref="I27:I28" si="12">SUM(G27:H27)</f>
        <v>70000</v>
      </c>
      <c r="J27" s="163">
        <f>IF(G27&gt;=Datos!$D$14,(Datos!$D$14*Datos!$C$14),IF(G27&lt;=Datos!$D$14,(G27*Datos!$C$14)))</f>
        <v>2009</v>
      </c>
      <c r="K27" s="164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5368.4756666666663</v>
      </c>
      <c r="L27" s="163">
        <f>IF(G27&gt;=Datos!$D$15,(Datos!$D$15*Datos!$C$15),IF(G27&lt;=Datos!$D$15,(G27*Datos!$C$15)))</f>
        <v>2128</v>
      </c>
      <c r="M27" s="162">
        <v>3825</v>
      </c>
      <c r="N27" s="163">
        <f t="shared" ref="N27:N28" si="13">SUM(J27:M27)</f>
        <v>13330.475666666665</v>
      </c>
      <c r="O27" s="241">
        <f t="shared" ref="O27:O28" si="14">+G27-N27</f>
        <v>56669.524333333335</v>
      </c>
    </row>
    <row r="28" spans="1:15" ht="36.75" customHeight="1" x14ac:dyDescent="0.2">
      <c r="A28" s="225">
        <v>12</v>
      </c>
      <c r="B28" s="227" t="s">
        <v>75</v>
      </c>
      <c r="C28" s="227" t="s">
        <v>286</v>
      </c>
      <c r="D28" s="227" t="s">
        <v>250</v>
      </c>
      <c r="E28" s="228" t="s">
        <v>280</v>
      </c>
      <c r="F28" s="228" t="s">
        <v>281</v>
      </c>
      <c r="G28" s="162">
        <v>37500</v>
      </c>
      <c r="H28" s="162">
        <v>0</v>
      </c>
      <c r="I28" s="162">
        <f t="shared" si="12"/>
        <v>37500</v>
      </c>
      <c r="J28" s="163">
        <f>IF(G28&gt;=Datos!$D$14,(Datos!$D$14*Datos!$C$14),IF(G28&lt;=Datos!$D$14,(G28*Datos!$C$14)))</f>
        <v>1076.25</v>
      </c>
      <c r="K28" s="164">
        <v>0</v>
      </c>
      <c r="L28" s="163">
        <f>IF(G28&gt;=Datos!$D$15,(Datos!$D$15*Datos!$C$15),IF(G28&lt;=Datos!$D$15,(G28*Datos!$C$15)))</f>
        <v>1140</v>
      </c>
      <c r="M28" s="162">
        <v>9712.75</v>
      </c>
      <c r="N28" s="163">
        <f t="shared" si="13"/>
        <v>11929</v>
      </c>
      <c r="O28" s="241">
        <f t="shared" si="14"/>
        <v>25571</v>
      </c>
    </row>
    <row r="29" spans="1:15" ht="36.75" customHeight="1" x14ac:dyDescent="0.2">
      <c r="A29" s="277" t="s">
        <v>455</v>
      </c>
      <c r="B29" s="278"/>
      <c r="C29" s="232">
        <v>5</v>
      </c>
      <c r="D29" s="243"/>
      <c r="E29" s="244"/>
      <c r="F29" s="245"/>
      <c r="G29" s="212">
        <f>SUM(G23:G28)</f>
        <v>283000</v>
      </c>
      <c r="H29" s="212">
        <f t="shared" ref="H29:O29" si="15">SUM(H23:H28)</f>
        <v>0</v>
      </c>
      <c r="I29" s="212">
        <f t="shared" si="15"/>
        <v>283000</v>
      </c>
      <c r="J29" s="212">
        <f t="shared" si="15"/>
        <v>8122.1</v>
      </c>
      <c r="K29" s="212">
        <f t="shared" si="15"/>
        <v>9871.9586666666655</v>
      </c>
      <c r="L29" s="212">
        <f t="shared" si="15"/>
        <v>8603.2000000000007</v>
      </c>
      <c r="M29" s="212">
        <f t="shared" si="15"/>
        <v>13637.75</v>
      </c>
      <c r="N29" s="212">
        <f t="shared" si="15"/>
        <v>40235.008666666661</v>
      </c>
      <c r="O29" s="212">
        <f t="shared" si="15"/>
        <v>242764.99133333334</v>
      </c>
    </row>
    <row r="30" spans="1:15" ht="36.75" customHeight="1" x14ac:dyDescent="0.2">
      <c r="A30" s="277" t="s">
        <v>457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9"/>
    </row>
    <row r="31" spans="1:15" ht="36.75" customHeight="1" x14ac:dyDescent="0.2">
      <c r="A31" s="225">
        <v>13</v>
      </c>
      <c r="B31" s="227" t="s">
        <v>572</v>
      </c>
      <c r="C31" s="227" t="s">
        <v>285</v>
      </c>
      <c r="D31" s="227" t="s">
        <v>243</v>
      </c>
      <c r="E31" s="228" t="s">
        <v>280</v>
      </c>
      <c r="F31" s="228" t="s">
        <v>19</v>
      </c>
      <c r="G31" s="162">
        <v>33000</v>
      </c>
      <c r="H31" s="162">
        <v>0</v>
      </c>
      <c r="I31" s="162">
        <f t="shared" ref="I31:I36" si="16">SUM(G31:H31)</f>
        <v>33000</v>
      </c>
      <c r="J31" s="163">
        <f>IF(G31&gt;=Datos!$D$14,(Datos!$D$14*Datos!$C$14),IF(G31&lt;=Datos!$D$14,(G31*Datos!$C$14)))</f>
        <v>947.1</v>
      </c>
      <c r="K31" s="164" t="str">
        <f>IF((G31-J31-L31)&lt;=Datos!$G$7,"0",IF((G31-J31-L31)&lt;=Datos!$G$8,((G31-J31-L31)-Datos!$F$8)*Datos!$I$6,IF((G31-J31-L31)&lt;=Datos!$G$9,Datos!$I$8+((G31-J31-L31)-Datos!$F$9)*Datos!$J$6,IF((G31-J31-L31)&gt;=Datos!$F$10,(Datos!$I$8+Datos!$J$8)+((G31-J31-L31)-Datos!$F$10)*Datos!$K$6))))</f>
        <v>0</v>
      </c>
      <c r="L31" s="163">
        <f>IF(G31&gt;=Datos!$D$15,(Datos!$D$15*Datos!$C$15),IF(G31&lt;=Datos!$D$15,(G31*Datos!$C$15)))</f>
        <v>1003.2</v>
      </c>
      <c r="M31" s="162">
        <v>25</v>
      </c>
      <c r="N31" s="162">
        <f t="shared" ref="N31:N41" si="17">SUM(J31:M31)</f>
        <v>1975.3000000000002</v>
      </c>
      <c r="O31" s="191">
        <f t="shared" ref="O31:O41" si="18">+G31-N31</f>
        <v>31024.7</v>
      </c>
    </row>
    <row r="32" spans="1:15" ht="36.75" customHeight="1" x14ac:dyDescent="0.2">
      <c r="A32" s="225">
        <v>14</v>
      </c>
      <c r="B32" s="227" t="s">
        <v>908</v>
      </c>
      <c r="C32" s="227" t="s">
        <v>286</v>
      </c>
      <c r="D32" s="227" t="s">
        <v>243</v>
      </c>
      <c r="E32" s="228" t="s">
        <v>280</v>
      </c>
      <c r="F32" s="228" t="s">
        <v>19</v>
      </c>
      <c r="G32" s="162">
        <v>26000</v>
      </c>
      <c r="H32" s="162">
        <v>0</v>
      </c>
      <c r="I32" s="162">
        <f t="shared" ref="I32" si="19">SUM(G32:H32)</f>
        <v>26000</v>
      </c>
      <c r="J32" s="163">
        <f>IF(G32&gt;=Datos!$D$14,(Datos!$D$14*Datos!$C$14),IF(G32&lt;=Datos!$D$14,(G32*Datos!$C$14)))</f>
        <v>746.2</v>
      </c>
      <c r="K32" s="164" t="str">
        <f>IF((G32-J32-L32)&lt;=Datos!$G$7,"0",IF((G32-J32-L32)&lt;=Datos!$G$8,((G32-J32-L32)-Datos!$F$8)*Datos!$I$6,IF((G32-J32-L32)&lt;=Datos!$G$9,Datos!$I$8+((G32-J32-L32)-Datos!$F$9)*Datos!$J$6,IF((G32-J32-L32)&gt;=Datos!$F$10,(Datos!$I$8+Datos!$J$8)+((G32-J32-L32)-Datos!$F$10)*Datos!$K$6))))</f>
        <v>0</v>
      </c>
      <c r="L32" s="163">
        <f>IF(G32&gt;=Datos!$D$15,(Datos!$D$15*Datos!$C$15),IF(G32&lt;=Datos!$D$15,(G32*Datos!$C$15)))</f>
        <v>790.4</v>
      </c>
      <c r="M32" s="162">
        <v>25</v>
      </c>
      <c r="N32" s="162">
        <f t="shared" ref="N32" si="20">SUM(J32:M32)</f>
        <v>1561.6</v>
      </c>
      <c r="O32" s="191">
        <f t="shared" ref="O32" si="21">+G32-N32</f>
        <v>24438.400000000001</v>
      </c>
    </row>
    <row r="33" spans="1:15" ht="36.75" customHeight="1" x14ac:dyDescent="0.2">
      <c r="A33" s="225">
        <v>15</v>
      </c>
      <c r="B33" s="227" t="s">
        <v>175</v>
      </c>
      <c r="C33" s="227" t="s">
        <v>286</v>
      </c>
      <c r="D33" s="227" t="s">
        <v>247</v>
      </c>
      <c r="E33" s="228" t="s">
        <v>280</v>
      </c>
      <c r="F33" s="228" t="s">
        <v>19</v>
      </c>
      <c r="G33" s="162">
        <v>70000</v>
      </c>
      <c r="H33" s="162">
        <v>0</v>
      </c>
      <c r="I33" s="162">
        <f t="shared" si="16"/>
        <v>70000</v>
      </c>
      <c r="J33" s="163">
        <f>IF(G33&gt;=Datos!$D$14,(Datos!$D$14*Datos!$C$14),IF(G33&lt;=Datos!$D$14,(G33*Datos!$C$14)))</f>
        <v>2009</v>
      </c>
      <c r="K33" s="164">
        <v>5025.38</v>
      </c>
      <c r="L33" s="163">
        <f>IF(G33&gt;=Datos!$D$15,(Datos!$D$15*Datos!$C$15),IF(G33&lt;=Datos!$D$15,(G33*Datos!$C$15)))</f>
        <v>2128</v>
      </c>
      <c r="M33" s="162">
        <v>14193.51</v>
      </c>
      <c r="N33" s="162">
        <f t="shared" si="17"/>
        <v>23355.89</v>
      </c>
      <c r="O33" s="191">
        <f t="shared" si="18"/>
        <v>46644.11</v>
      </c>
    </row>
    <row r="34" spans="1:15" ht="36.75" customHeight="1" x14ac:dyDescent="0.2">
      <c r="A34" s="225">
        <v>16</v>
      </c>
      <c r="B34" s="227" t="s">
        <v>597</v>
      </c>
      <c r="C34" s="227" t="s">
        <v>285</v>
      </c>
      <c r="D34" s="227" t="s">
        <v>3</v>
      </c>
      <c r="E34" s="228" t="s">
        <v>280</v>
      </c>
      <c r="F34" s="228" t="s">
        <v>19</v>
      </c>
      <c r="G34" s="162">
        <v>100000</v>
      </c>
      <c r="H34" s="162">
        <v>0</v>
      </c>
      <c r="I34" s="138">
        <f t="shared" ref="I34" si="22">SUM(G34:H34)</f>
        <v>100000</v>
      </c>
      <c r="J34" s="163">
        <f>IF(G34&gt;=Datos!$D$14,(Datos!$D$14*Datos!$C$14),IF(G34&lt;=Datos!$D$14,(G34*Datos!$C$14)))</f>
        <v>2870</v>
      </c>
      <c r="K34" s="164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12105.360666666667</v>
      </c>
      <c r="L34" s="163">
        <f>IF(G34&gt;=Datos!$D$15,(Datos!$D$15*Datos!$C$15),IF(G34&lt;=Datos!$D$15,(G34*Datos!$C$15)))</f>
        <v>3040</v>
      </c>
      <c r="M34" s="162">
        <v>25</v>
      </c>
      <c r="N34" s="162">
        <f t="shared" si="17"/>
        <v>18040.360666666667</v>
      </c>
      <c r="O34" s="191">
        <f t="shared" si="18"/>
        <v>81959.639333333325</v>
      </c>
    </row>
    <row r="35" spans="1:15" ht="36.75" customHeight="1" x14ac:dyDescent="0.2">
      <c r="A35" s="225">
        <v>17</v>
      </c>
      <c r="B35" s="227" t="s">
        <v>214</v>
      </c>
      <c r="C35" s="227" t="s">
        <v>412</v>
      </c>
      <c r="D35" s="227" t="s">
        <v>3</v>
      </c>
      <c r="E35" s="228" t="s">
        <v>280</v>
      </c>
      <c r="F35" s="228" t="s">
        <v>19</v>
      </c>
      <c r="G35" s="162">
        <v>65000</v>
      </c>
      <c r="H35" s="162">
        <v>0</v>
      </c>
      <c r="I35" s="162">
        <f t="shared" si="16"/>
        <v>65000</v>
      </c>
      <c r="J35" s="163">
        <f>IF(G35&gt;=Datos!$D$14,(Datos!$D$14*Datos!$C$14),IF(G35&lt;=Datos!$D$14,(G35*Datos!$C$14)))</f>
        <v>1865.5</v>
      </c>
      <c r="K35" s="164">
        <f>IF((G35-J35-L35)&lt;=Datos!$G$7,"0",IF((G35-J35-L35)&lt;=Datos!$G$8,((G35-J35-L35)-Datos!$F$8)*Datos!$I$6,IF((G35-J35-L35)&lt;=Datos!$G$9,Datos!$I$8+((G35-J35-L35)-Datos!$F$9)*Datos!$J$6,IF((G35-J35-L35)&gt;=Datos!$F$10,(Datos!$I$8+Datos!$J$8)+((G35-J35-L35)-Datos!$F$10)*Datos!$K$6))))</f>
        <v>4427.5756666666657</v>
      </c>
      <c r="L35" s="163">
        <f>IF(G35&gt;=Datos!$D$15,(Datos!$D$15*Datos!$C$15),IF(G35&lt;=Datos!$D$15,(G35*Datos!$C$15)))</f>
        <v>1976</v>
      </c>
      <c r="M35" s="162">
        <v>7724.27</v>
      </c>
      <c r="N35" s="162">
        <f t="shared" si="17"/>
        <v>15993.345666666666</v>
      </c>
      <c r="O35" s="191">
        <f t="shared" si="18"/>
        <v>49006.654333333332</v>
      </c>
    </row>
    <row r="36" spans="1:15" ht="36.75" customHeight="1" x14ac:dyDescent="0.2">
      <c r="A36" s="225">
        <v>18</v>
      </c>
      <c r="B36" s="227" t="s">
        <v>533</v>
      </c>
      <c r="C36" s="227" t="s">
        <v>412</v>
      </c>
      <c r="D36" s="227" t="s">
        <v>248</v>
      </c>
      <c r="E36" s="228" t="s">
        <v>280</v>
      </c>
      <c r="F36" s="228" t="s">
        <v>19</v>
      </c>
      <c r="G36" s="162">
        <v>35000</v>
      </c>
      <c r="H36" s="162">
        <v>0</v>
      </c>
      <c r="I36" s="162">
        <f t="shared" si="16"/>
        <v>35000</v>
      </c>
      <c r="J36" s="163">
        <f>IF(G36&gt;=Datos!$D$14,(Datos!$D$14*Datos!$C$14),IF(G36&lt;=Datos!$D$14,(G36*Datos!$C$14)))</f>
        <v>1004.5</v>
      </c>
      <c r="K36" s="164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163">
        <f>IF(G36&gt;=Datos!$D$15,(Datos!$D$15*Datos!$C$15),IF(G36&lt;=Datos!$D$15,(G36*Datos!$C$15)))</f>
        <v>1064</v>
      </c>
      <c r="M36" s="162">
        <v>6740.46</v>
      </c>
      <c r="N36" s="162">
        <f t="shared" si="17"/>
        <v>8808.9599999999991</v>
      </c>
      <c r="O36" s="191">
        <f t="shared" si="18"/>
        <v>26191.040000000001</v>
      </c>
    </row>
    <row r="37" spans="1:15" s="234" customFormat="1" ht="36.75" customHeight="1" x14ac:dyDescent="0.2">
      <c r="A37" s="277" t="s">
        <v>455</v>
      </c>
      <c r="B37" s="278"/>
      <c r="C37" s="232">
        <v>6</v>
      </c>
      <c r="D37" s="232"/>
      <c r="E37" s="233"/>
      <c r="F37" s="166"/>
      <c r="G37" s="167">
        <f t="shared" ref="G37:O37" si="23">SUM(G31:G36)</f>
        <v>329000</v>
      </c>
      <c r="H37" s="167">
        <f t="shared" si="23"/>
        <v>0</v>
      </c>
      <c r="I37" s="167">
        <f t="shared" si="23"/>
        <v>329000</v>
      </c>
      <c r="J37" s="167">
        <f t="shared" si="23"/>
        <v>9442.2999999999993</v>
      </c>
      <c r="K37" s="167">
        <f t="shared" si="23"/>
        <v>21558.316333333336</v>
      </c>
      <c r="L37" s="167">
        <f t="shared" si="23"/>
        <v>10001.6</v>
      </c>
      <c r="M37" s="167">
        <f t="shared" si="23"/>
        <v>28733.239999999998</v>
      </c>
      <c r="N37" s="167">
        <f t="shared" si="23"/>
        <v>69735.456333333335</v>
      </c>
      <c r="O37" s="167">
        <f t="shared" si="23"/>
        <v>259264.54366666666</v>
      </c>
    </row>
    <row r="38" spans="1:15" ht="36.75" customHeight="1" x14ac:dyDescent="0.2">
      <c r="A38" s="277" t="s">
        <v>458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9"/>
    </row>
    <row r="39" spans="1:15" ht="36.75" customHeight="1" x14ac:dyDescent="0.2">
      <c r="A39" s="225">
        <v>19</v>
      </c>
      <c r="B39" s="227" t="s">
        <v>564</v>
      </c>
      <c r="C39" s="227" t="s">
        <v>285</v>
      </c>
      <c r="D39" s="99" t="s">
        <v>243</v>
      </c>
      <c r="E39" s="228" t="s">
        <v>280</v>
      </c>
      <c r="F39" s="228" t="s">
        <v>281</v>
      </c>
      <c r="G39" s="162">
        <v>33000</v>
      </c>
      <c r="H39" s="162">
        <v>0</v>
      </c>
      <c r="I39" s="162">
        <f t="shared" ref="I39" si="24">SUM(G39:H39)</f>
        <v>33000</v>
      </c>
      <c r="J39" s="163">
        <f>IF(G39&gt;=Datos!$D$14,(Datos!$D$14*Datos!$C$14),IF(G39&lt;=Datos!$D$14,(G39*Datos!$C$14)))</f>
        <v>947.1</v>
      </c>
      <c r="K39" s="164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63">
        <f>IF(G39&gt;=Datos!$D$15,(Datos!$D$15*Datos!$C$15),IF(G39&lt;=Datos!$D$15,(G39*Datos!$C$15)))</f>
        <v>1003.2</v>
      </c>
      <c r="M39" s="162">
        <v>25</v>
      </c>
      <c r="N39" s="162">
        <f t="shared" ref="N39" si="25">SUM(J39:M39)</f>
        <v>1975.3000000000002</v>
      </c>
      <c r="O39" s="191">
        <f t="shared" ref="O39" si="26">+G39-N39</f>
        <v>31024.7</v>
      </c>
    </row>
    <row r="40" spans="1:15" ht="36.75" customHeight="1" x14ac:dyDescent="0.2">
      <c r="A40" s="225">
        <v>20</v>
      </c>
      <c r="B40" s="227" t="s">
        <v>565</v>
      </c>
      <c r="C40" s="227" t="s">
        <v>285</v>
      </c>
      <c r="D40" s="227" t="s">
        <v>243</v>
      </c>
      <c r="E40" s="228" t="s">
        <v>280</v>
      </c>
      <c r="F40" s="228" t="s">
        <v>281</v>
      </c>
      <c r="G40" s="162">
        <v>33000</v>
      </c>
      <c r="H40" s="162">
        <v>0</v>
      </c>
      <c r="I40" s="162">
        <f t="shared" ref="I40:I41" si="27">SUM(G40:H40)</f>
        <v>33000</v>
      </c>
      <c r="J40" s="163">
        <f>IF(G40&gt;=Datos!$D$14,(Datos!$D$14*Datos!$C$14),IF(G40&lt;=Datos!$D$14,(G40*Datos!$C$14)))</f>
        <v>947.1</v>
      </c>
      <c r="K40" s="164" t="str">
        <f>IF((G40-J40-L40)&lt;=Datos!$G$7,"0",IF((G40-J40-L40)&lt;=Datos!$G$8,((G40-J40-L40)-Datos!$F$8)*Datos!$I$6,IF((G40-J40-L40)&lt;=Datos!$G$9,Datos!$I$8+((G40-J40-L40)-Datos!$F$9)*Datos!$J$6,IF((G40-J40-L40)&gt;=Datos!$F$10,(Datos!$I$8+Datos!$J$8)+((G40-J40-L40)-Datos!$F$10)*Datos!$K$6))))</f>
        <v>0</v>
      </c>
      <c r="L40" s="163">
        <f>IF(G40&gt;=Datos!$D$15,(Datos!$D$15*Datos!$C$15),IF(G40&lt;=Datos!$D$15,(G40*Datos!$C$15)))</f>
        <v>1003.2</v>
      </c>
      <c r="M40" s="162">
        <v>25</v>
      </c>
      <c r="N40" s="162">
        <f t="shared" ref="N40" si="28">SUM(J40:M40)</f>
        <v>1975.3000000000002</v>
      </c>
      <c r="O40" s="191">
        <f t="shared" ref="O40" si="29">+G40-N40</f>
        <v>31024.7</v>
      </c>
    </row>
    <row r="41" spans="1:15" ht="36.75" customHeight="1" x14ac:dyDescent="0.2">
      <c r="A41" s="225">
        <v>21</v>
      </c>
      <c r="B41" s="227" t="s">
        <v>185</v>
      </c>
      <c r="C41" s="227" t="s">
        <v>412</v>
      </c>
      <c r="D41" s="99" t="s">
        <v>315</v>
      </c>
      <c r="E41" s="228" t="s">
        <v>280</v>
      </c>
      <c r="F41" s="228" t="s">
        <v>281</v>
      </c>
      <c r="G41" s="162">
        <v>140000</v>
      </c>
      <c r="H41" s="162">
        <v>0</v>
      </c>
      <c r="I41" s="162">
        <f t="shared" si="27"/>
        <v>140000</v>
      </c>
      <c r="J41" s="163">
        <f>IF(G41&gt;=Datos!$D$14,(Datos!$D$14*Datos!$C$14),IF(G41&lt;=Datos!$D$14,(G41*Datos!$C$14)))</f>
        <v>4018</v>
      </c>
      <c r="K41" s="164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21514.360666666667</v>
      </c>
      <c r="L41" s="163">
        <f>IF(G41&gt;=Datos!$D$15,(Datos!$D$15*Datos!$C$15),IF(G41&lt;=Datos!$D$15,(G41*Datos!$C$15)))</f>
        <v>4256</v>
      </c>
      <c r="M41" s="162">
        <v>25</v>
      </c>
      <c r="N41" s="162">
        <f t="shared" si="17"/>
        <v>29813.360666666667</v>
      </c>
      <c r="O41" s="191">
        <f t="shared" si="18"/>
        <v>110186.63933333333</v>
      </c>
    </row>
    <row r="42" spans="1:15" s="234" customFormat="1" ht="36.75" customHeight="1" x14ac:dyDescent="0.2">
      <c r="A42" s="277" t="s">
        <v>455</v>
      </c>
      <c r="B42" s="278"/>
      <c r="C42" s="232">
        <v>3</v>
      </c>
      <c r="D42" s="232"/>
      <c r="E42" s="233"/>
      <c r="F42" s="166"/>
      <c r="G42" s="167">
        <f t="shared" ref="G42:O42" si="30">SUM(G39:G41)</f>
        <v>206000</v>
      </c>
      <c r="H42" s="167">
        <f t="shared" si="30"/>
        <v>0</v>
      </c>
      <c r="I42" s="167">
        <f t="shared" si="30"/>
        <v>206000</v>
      </c>
      <c r="J42" s="167">
        <f t="shared" si="30"/>
        <v>5912.2</v>
      </c>
      <c r="K42" s="167">
        <f t="shared" si="30"/>
        <v>21514.360666666667</v>
      </c>
      <c r="L42" s="167">
        <f t="shared" si="30"/>
        <v>6262.4</v>
      </c>
      <c r="M42" s="167">
        <f t="shared" si="30"/>
        <v>75</v>
      </c>
      <c r="N42" s="167">
        <f t="shared" si="30"/>
        <v>33763.960666666666</v>
      </c>
      <c r="O42" s="167">
        <f t="shared" si="30"/>
        <v>172236.03933333332</v>
      </c>
    </row>
    <row r="43" spans="1:15" ht="36.75" customHeight="1" x14ac:dyDescent="0.2">
      <c r="A43" s="277" t="s">
        <v>942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5" ht="36.75" customHeight="1" x14ac:dyDescent="0.2">
      <c r="A44" s="225">
        <v>22</v>
      </c>
      <c r="B44" s="227" t="s">
        <v>126</v>
      </c>
      <c r="C44" s="227" t="s">
        <v>286</v>
      </c>
      <c r="D44" s="99" t="s">
        <v>307</v>
      </c>
      <c r="E44" s="228" t="s">
        <v>280</v>
      </c>
      <c r="F44" s="228" t="s">
        <v>281</v>
      </c>
      <c r="G44" s="162">
        <v>45000</v>
      </c>
      <c r="H44" s="162">
        <v>0</v>
      </c>
      <c r="I44" s="162">
        <f t="shared" ref="I44" si="31">SUM(G44:H44)</f>
        <v>45000</v>
      </c>
      <c r="J44" s="163">
        <f>IF(G44&gt;=Datos!$D$14,(Datos!$D$14*Datos!$C$14),IF(G44&lt;=Datos!$D$14,(G44*Datos!$C$14)))</f>
        <v>1291.5</v>
      </c>
      <c r="K44" s="164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1148.3234999999997</v>
      </c>
      <c r="L44" s="163">
        <f>IF(G44&gt;=Datos!$D$15,(Datos!$D$15*Datos!$C$15),IF(G44&lt;=Datos!$D$15,(G44*Datos!$C$15)))</f>
        <v>1368</v>
      </c>
      <c r="M44" s="162">
        <v>25</v>
      </c>
      <c r="N44" s="162">
        <f t="shared" ref="N44:N45" si="32">SUM(J44:M44)</f>
        <v>3832.8234999999995</v>
      </c>
      <c r="O44" s="191">
        <f t="shared" ref="O44:O45" si="33">+G44-N44</f>
        <v>41167.176500000001</v>
      </c>
    </row>
    <row r="45" spans="1:15" ht="36.75" customHeight="1" x14ac:dyDescent="0.2">
      <c r="A45" s="225">
        <v>23</v>
      </c>
      <c r="B45" s="227" t="s">
        <v>122</v>
      </c>
      <c r="C45" s="227" t="s">
        <v>284</v>
      </c>
      <c r="D45" s="99" t="s">
        <v>307</v>
      </c>
      <c r="E45" s="228" t="s">
        <v>280</v>
      </c>
      <c r="F45" s="228" t="s">
        <v>281</v>
      </c>
      <c r="G45" s="162">
        <v>45000</v>
      </c>
      <c r="H45" s="162">
        <v>0</v>
      </c>
      <c r="I45" s="162">
        <f t="shared" ref="I45" si="34">SUM(G45:H45)</f>
        <v>45000</v>
      </c>
      <c r="J45" s="163">
        <f>IF(G45&gt;=Datos!$D$14,(Datos!$D$14*Datos!$C$14),IF(G45&lt;=Datos!$D$14,(G45*Datos!$C$14)))</f>
        <v>1291.5</v>
      </c>
      <c r="K45" s="164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1148.3234999999997</v>
      </c>
      <c r="L45" s="163">
        <f>IF(G45&gt;=Datos!$D$15,(Datos!$D$15*Datos!$C$15),IF(G45&lt;=Datos!$D$15,(G45*Datos!$C$15)))</f>
        <v>1368</v>
      </c>
      <c r="M45" s="162">
        <v>25</v>
      </c>
      <c r="N45" s="162">
        <f t="shared" si="32"/>
        <v>3832.8234999999995</v>
      </c>
      <c r="O45" s="191">
        <f t="shared" si="33"/>
        <v>41167.176500000001</v>
      </c>
    </row>
    <row r="46" spans="1:15" s="234" customFormat="1" ht="36.75" customHeight="1" x14ac:dyDescent="0.2">
      <c r="A46" s="277" t="s">
        <v>455</v>
      </c>
      <c r="B46" s="278"/>
      <c r="C46" s="232">
        <v>2</v>
      </c>
      <c r="D46" s="232"/>
      <c r="E46" s="233"/>
      <c r="F46" s="166"/>
      <c r="G46" s="167">
        <f t="shared" ref="G46:O46" si="35">SUM(G44:G45)</f>
        <v>90000</v>
      </c>
      <c r="H46" s="167">
        <f t="shared" si="35"/>
        <v>0</v>
      </c>
      <c r="I46" s="167">
        <f t="shared" si="35"/>
        <v>90000</v>
      </c>
      <c r="J46" s="167">
        <f t="shared" si="35"/>
        <v>2583</v>
      </c>
      <c r="K46" s="167">
        <f t="shared" si="35"/>
        <v>2296.6469999999995</v>
      </c>
      <c r="L46" s="167">
        <f t="shared" si="35"/>
        <v>2736</v>
      </c>
      <c r="M46" s="167">
        <f t="shared" si="35"/>
        <v>50</v>
      </c>
      <c r="N46" s="167">
        <f t="shared" si="35"/>
        <v>7665.646999999999</v>
      </c>
      <c r="O46" s="167">
        <f t="shared" si="35"/>
        <v>82334.353000000003</v>
      </c>
    </row>
    <row r="47" spans="1:15" ht="36.75" customHeight="1" x14ac:dyDescent="0.2">
      <c r="A47" s="277" t="s">
        <v>584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46"/>
    </row>
    <row r="48" spans="1:15" ht="36.75" customHeight="1" x14ac:dyDescent="0.2">
      <c r="A48" s="225">
        <v>24</v>
      </c>
      <c r="B48" s="227" t="s">
        <v>692</v>
      </c>
      <c r="C48" s="227" t="s">
        <v>332</v>
      </c>
      <c r="D48" s="227" t="s">
        <v>248</v>
      </c>
      <c r="E48" s="228" t="s">
        <v>280</v>
      </c>
      <c r="F48" s="228" t="s">
        <v>19</v>
      </c>
      <c r="G48" s="162">
        <v>35000</v>
      </c>
      <c r="H48" s="162">
        <v>0</v>
      </c>
      <c r="I48" s="162">
        <f t="shared" ref="I48:I55" si="36">SUM(G48:H48)</f>
        <v>35000</v>
      </c>
      <c r="J48" s="163">
        <f>IF(G48&gt;=Datos!$D$14,(Datos!$D$14*Datos!$C$14),IF(G48&lt;=Datos!$D$14,(G48*Datos!$C$14)))</f>
        <v>1004.5</v>
      </c>
      <c r="K48" s="164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63">
        <f>IF(G48&gt;=Datos!$D$15,(Datos!$D$15*Datos!$C$15),IF(G48&lt;=Datos!$D$15,(G48*Datos!$C$15)))</f>
        <v>1064</v>
      </c>
      <c r="M48" s="162">
        <v>5171.38</v>
      </c>
      <c r="N48" s="162">
        <f t="shared" ref="N48:N55" si="37">SUM(J48:M48)</f>
        <v>7239.88</v>
      </c>
      <c r="O48" s="191">
        <f t="shared" ref="O48:O55" si="38">+G48-N48</f>
        <v>27760.12</v>
      </c>
    </row>
    <row r="49" spans="1:15" ht="36.75" customHeight="1" x14ac:dyDescent="0.2">
      <c r="A49" s="225">
        <v>25</v>
      </c>
      <c r="B49" s="227" t="s">
        <v>976</v>
      </c>
      <c r="C49" s="227" t="s">
        <v>332</v>
      </c>
      <c r="D49" s="227" t="s">
        <v>243</v>
      </c>
      <c r="E49" s="228" t="s">
        <v>280</v>
      </c>
      <c r="F49" s="228" t="s">
        <v>19</v>
      </c>
      <c r="G49" s="162">
        <v>33000</v>
      </c>
      <c r="H49" s="162">
        <v>0</v>
      </c>
      <c r="I49" s="162">
        <f t="shared" ref="I49" si="39">SUM(G49:H49)</f>
        <v>33000</v>
      </c>
      <c r="J49" s="163">
        <f>IF(G49&gt;=Datos!$D$14,(Datos!$D$14*Datos!$C$14),IF(G49&lt;=Datos!$D$14,(G49*Datos!$C$14)))</f>
        <v>947.1</v>
      </c>
      <c r="K49" s="164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63">
        <f>IF(G49&gt;=Datos!$D$15,(Datos!$D$15*Datos!$C$15),IF(G49&lt;=Datos!$D$15,(G49*Datos!$C$15)))</f>
        <v>1003.2</v>
      </c>
      <c r="M49" s="162">
        <v>25</v>
      </c>
      <c r="N49" s="162">
        <f t="shared" ref="N49" si="40">SUM(J49:M49)</f>
        <v>1975.3000000000002</v>
      </c>
      <c r="O49" s="191">
        <f t="shared" ref="O49" si="41">+G49-N49</f>
        <v>31024.7</v>
      </c>
    </row>
    <row r="50" spans="1:15" ht="36.75" customHeight="1" x14ac:dyDescent="0.2">
      <c r="A50" s="225">
        <v>26</v>
      </c>
      <c r="B50" s="227" t="s">
        <v>447</v>
      </c>
      <c r="C50" s="227" t="s">
        <v>332</v>
      </c>
      <c r="D50" s="227" t="s">
        <v>243</v>
      </c>
      <c r="E50" s="228" t="s">
        <v>280</v>
      </c>
      <c r="F50" s="228" t="s">
        <v>281</v>
      </c>
      <c r="G50" s="162">
        <v>26000</v>
      </c>
      <c r="H50" s="162">
        <v>0</v>
      </c>
      <c r="I50" s="162">
        <f t="shared" ref="I50:I54" si="42">SUM(G50:H50)</f>
        <v>26000</v>
      </c>
      <c r="J50" s="163">
        <f>IF(G50&gt;=Datos!$D$14,(Datos!$D$14*Datos!$C$14),IF(G50&lt;=Datos!$D$14,(G50*Datos!$C$14)))</f>
        <v>746.2</v>
      </c>
      <c r="K50" s="164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63">
        <f>IF(G50&gt;=Datos!$D$15,(Datos!$D$15*Datos!$C$15),IF(G50&lt;=Datos!$D$15,(G50*Datos!$C$15)))</f>
        <v>790.4</v>
      </c>
      <c r="M50" s="162">
        <v>25</v>
      </c>
      <c r="N50" s="162">
        <f t="shared" ref="N50:N54" si="43">SUM(J50:M50)</f>
        <v>1561.6</v>
      </c>
      <c r="O50" s="191">
        <f t="shared" ref="O50:O54" si="44">+G50-N50</f>
        <v>24438.400000000001</v>
      </c>
    </row>
    <row r="51" spans="1:15" ht="36.75" customHeight="1" x14ac:dyDescent="0.2">
      <c r="A51" s="225">
        <v>27</v>
      </c>
      <c r="B51" s="227" t="s">
        <v>540</v>
      </c>
      <c r="C51" s="227" t="s">
        <v>284</v>
      </c>
      <c r="D51" s="227" t="s">
        <v>1049</v>
      </c>
      <c r="E51" s="228" t="s">
        <v>280</v>
      </c>
      <c r="F51" s="228" t="s">
        <v>281</v>
      </c>
      <c r="G51" s="162">
        <v>35000</v>
      </c>
      <c r="H51" s="162">
        <v>0</v>
      </c>
      <c r="I51" s="162">
        <f t="shared" si="42"/>
        <v>35000</v>
      </c>
      <c r="J51" s="163">
        <f>IF(G51&gt;=Datos!$D$14,(Datos!$D$14*Datos!$C$14),IF(G51&lt;=Datos!$D$14,(G51*Datos!$C$14)))</f>
        <v>1004.5</v>
      </c>
      <c r="K51" s="164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63">
        <f>IF(G51&gt;=Datos!$D$15,(Datos!$D$15*Datos!$C$15),IF(G51&lt;=Datos!$D$15,(G51*Datos!$C$15)))</f>
        <v>1064</v>
      </c>
      <c r="M51" s="162">
        <v>25</v>
      </c>
      <c r="N51" s="162">
        <f t="shared" si="43"/>
        <v>2093.5</v>
      </c>
      <c r="O51" s="191">
        <f t="shared" si="44"/>
        <v>32906.5</v>
      </c>
    </row>
    <row r="52" spans="1:15" ht="36.75" customHeight="1" x14ac:dyDescent="0.2">
      <c r="A52" s="225">
        <v>28</v>
      </c>
      <c r="B52" s="227" t="s">
        <v>686</v>
      </c>
      <c r="C52" s="227" t="s">
        <v>412</v>
      </c>
      <c r="D52" s="227" t="s">
        <v>243</v>
      </c>
      <c r="E52" s="228" t="s">
        <v>280</v>
      </c>
      <c r="F52" s="228" t="s">
        <v>281</v>
      </c>
      <c r="G52" s="162">
        <v>35000</v>
      </c>
      <c r="H52" s="162">
        <v>0</v>
      </c>
      <c r="I52" s="162">
        <f t="shared" ref="I52" si="45">SUM(G52:H52)</f>
        <v>35000</v>
      </c>
      <c r="J52" s="163">
        <f>IF(G52&gt;=Datos!$D$14,(Datos!$D$14*Datos!$C$14),IF(G52&lt;=Datos!$D$14,(G52*Datos!$C$14)))</f>
        <v>1004.5</v>
      </c>
      <c r="K52" s="164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63">
        <f>IF(G52&gt;=Datos!$D$15,(Datos!$D$15*Datos!$C$15),IF(G52&lt;=Datos!$D$15,(G52*Datos!$C$15)))</f>
        <v>1064</v>
      </c>
      <c r="M52" s="162">
        <v>25</v>
      </c>
      <c r="N52" s="162">
        <f t="shared" ref="N52" si="46">SUM(J52:M52)</f>
        <v>2093.5</v>
      </c>
      <c r="O52" s="191">
        <f t="shared" ref="O52" si="47">+G52-N52</f>
        <v>32906.5</v>
      </c>
    </row>
    <row r="53" spans="1:15" ht="36.75" customHeight="1" x14ac:dyDescent="0.2">
      <c r="A53" s="225">
        <v>29</v>
      </c>
      <c r="B53" s="227" t="s">
        <v>118</v>
      </c>
      <c r="C53" s="227" t="s">
        <v>284</v>
      </c>
      <c r="D53" s="227" t="s">
        <v>243</v>
      </c>
      <c r="E53" s="228" t="s">
        <v>280</v>
      </c>
      <c r="F53" s="228" t="s">
        <v>281</v>
      </c>
      <c r="G53" s="162">
        <v>33000</v>
      </c>
      <c r="H53" s="162">
        <v>0</v>
      </c>
      <c r="I53" s="162">
        <f t="shared" ref="I53" si="48">SUM(G53:H53)</f>
        <v>33000</v>
      </c>
      <c r="J53" s="163">
        <f>IF(G53&gt;=Datos!$D$14,(Datos!$D$14*Datos!$C$14),IF(G53&lt;=Datos!$D$14,(G53*Datos!$C$14)))</f>
        <v>947.1</v>
      </c>
      <c r="K53" s="164" t="str">
        <f>IF((G53-J53-L53)&lt;=Datos!$G$7,"0",IF((G53-J53-L53)&lt;=Datos!$G$8,((G53-J53-L53)-Datos!$F$8)*Datos!$I$6,IF((G53-J53-L53)&lt;=Datos!$G$9,Datos!$I$8+((G53-J53-L53)-Datos!$F$9)*Datos!$J$6,IF((G53-J53-L53)&gt;=Datos!$F$10,(Datos!$I$8+Datos!$J$8)+((G53-J53-L53)-Datos!$F$10)*Datos!$K$6))))</f>
        <v>0</v>
      </c>
      <c r="L53" s="163">
        <f>IF(G53&gt;=Datos!$D$15,(Datos!$D$15*Datos!$C$15),IF(G53&lt;=Datos!$D$15,(G53*Datos!$C$15)))</f>
        <v>1003.2</v>
      </c>
      <c r="M53" s="162">
        <v>1740.46</v>
      </c>
      <c r="N53" s="162">
        <f t="shared" ref="N53" si="49">SUM(J53:M53)</f>
        <v>3690.76</v>
      </c>
      <c r="O53" s="191">
        <f t="shared" ref="O53" si="50">+G53-N53</f>
        <v>29309.239999999998</v>
      </c>
    </row>
    <row r="54" spans="1:15" ht="36.75" customHeight="1" x14ac:dyDescent="0.2">
      <c r="A54" s="225">
        <v>30</v>
      </c>
      <c r="B54" s="227" t="s">
        <v>107</v>
      </c>
      <c r="C54" s="227" t="s">
        <v>284</v>
      </c>
      <c r="D54" s="227" t="s">
        <v>248</v>
      </c>
      <c r="E54" s="228" t="s">
        <v>280</v>
      </c>
      <c r="F54" s="228" t="s">
        <v>19</v>
      </c>
      <c r="G54" s="162">
        <v>35000</v>
      </c>
      <c r="H54" s="162">
        <v>0</v>
      </c>
      <c r="I54" s="162">
        <f t="shared" si="42"/>
        <v>35000</v>
      </c>
      <c r="J54" s="163">
        <f>IF(G54&gt;=Datos!$D$14,(Datos!$D$14*Datos!$C$14),IF(G54&lt;=Datos!$D$14,(G54*Datos!$C$14)))</f>
        <v>1004.5</v>
      </c>
      <c r="K54" s="164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163">
        <f>IF(G54&gt;=Datos!$D$15,(Datos!$D$15*Datos!$C$15),IF(G54&lt;=Datos!$D$15,(G54*Datos!$C$15)))</f>
        <v>1064</v>
      </c>
      <c r="M54" s="162">
        <v>3455.92</v>
      </c>
      <c r="N54" s="162">
        <f t="shared" si="43"/>
        <v>5524.42</v>
      </c>
      <c r="O54" s="191">
        <f t="shared" si="44"/>
        <v>29475.58</v>
      </c>
    </row>
    <row r="55" spans="1:15" ht="36.75" customHeight="1" x14ac:dyDescent="0.2">
      <c r="A55" s="225">
        <v>31</v>
      </c>
      <c r="B55" s="227" t="s">
        <v>301</v>
      </c>
      <c r="C55" s="227" t="s">
        <v>332</v>
      </c>
      <c r="D55" s="227" t="s">
        <v>422</v>
      </c>
      <c r="E55" s="228" t="s">
        <v>280</v>
      </c>
      <c r="F55" s="228" t="s">
        <v>19</v>
      </c>
      <c r="G55" s="162">
        <v>90000</v>
      </c>
      <c r="H55" s="162">
        <v>0</v>
      </c>
      <c r="I55" s="162">
        <f t="shared" si="36"/>
        <v>90000</v>
      </c>
      <c r="J55" s="163">
        <f>IF(G55&gt;=Datos!$D$14,(Datos!$D$14*Datos!$C$14),IF(G55&lt;=Datos!$D$14,(G55*Datos!$C$14)))</f>
        <v>2583</v>
      </c>
      <c r="K55" s="164">
        <v>9753.1200000000008</v>
      </c>
      <c r="L55" s="163">
        <f>IF(G55&gt;=Datos!$D$15,(Datos!$D$15*Datos!$C$15),IF(G55&lt;=Datos!$D$15,(G55*Datos!$C$15)))</f>
        <v>2736</v>
      </c>
      <c r="M55" s="162">
        <v>25</v>
      </c>
      <c r="N55" s="162">
        <f t="shared" si="37"/>
        <v>15097.12</v>
      </c>
      <c r="O55" s="191">
        <f t="shared" si="38"/>
        <v>74902.880000000005</v>
      </c>
    </row>
    <row r="56" spans="1:15" s="234" customFormat="1" ht="36.75" customHeight="1" x14ac:dyDescent="0.2">
      <c r="A56" s="277" t="s">
        <v>455</v>
      </c>
      <c r="B56" s="278"/>
      <c r="C56" s="232">
        <v>8</v>
      </c>
      <c r="D56" s="232"/>
      <c r="E56" s="233"/>
      <c r="F56" s="166"/>
      <c r="G56" s="167">
        <f>SUM(G48:G55)</f>
        <v>322000</v>
      </c>
      <c r="H56" s="167">
        <f t="shared" ref="H56:O56" si="51">SUM(H48:H55)</f>
        <v>0</v>
      </c>
      <c r="I56" s="167">
        <f t="shared" si="51"/>
        <v>322000</v>
      </c>
      <c r="J56" s="167">
        <f t="shared" si="51"/>
        <v>9241.4000000000015</v>
      </c>
      <c r="K56" s="167">
        <f t="shared" si="51"/>
        <v>9753.1200000000008</v>
      </c>
      <c r="L56" s="167">
        <f t="shared" si="51"/>
        <v>9788.7999999999993</v>
      </c>
      <c r="M56" s="167">
        <f t="shared" si="51"/>
        <v>10492.76</v>
      </c>
      <c r="N56" s="167">
        <f t="shared" si="51"/>
        <v>39276.080000000002</v>
      </c>
      <c r="O56" s="167">
        <f t="shared" si="51"/>
        <v>282723.92</v>
      </c>
    </row>
    <row r="57" spans="1:15" ht="36.75" customHeight="1" x14ac:dyDescent="0.2">
      <c r="A57" s="277" t="s">
        <v>498</v>
      </c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46"/>
    </row>
    <row r="58" spans="1:15" ht="36.75" customHeight="1" x14ac:dyDescent="0.2">
      <c r="A58" s="225">
        <v>32</v>
      </c>
      <c r="B58" s="227" t="s">
        <v>669</v>
      </c>
      <c r="C58" s="227" t="s">
        <v>332</v>
      </c>
      <c r="D58" s="227" t="s">
        <v>253</v>
      </c>
      <c r="E58" s="228" t="s">
        <v>280</v>
      </c>
      <c r="F58" s="228" t="s">
        <v>281</v>
      </c>
      <c r="G58" s="162">
        <v>22500</v>
      </c>
      <c r="H58" s="162">
        <v>0</v>
      </c>
      <c r="I58" s="162">
        <f>SUM(G58:H58)</f>
        <v>22500</v>
      </c>
      <c r="J58" s="163">
        <f>IF(G58&gt;=Datos!$D$14,(Datos!$D$14*Datos!$C$14),IF(G58&lt;=Datos!$D$14,(G58*Datos!$C$14)))</f>
        <v>645.75</v>
      </c>
      <c r="K58" s="164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63">
        <f>IF(G58&gt;=Datos!$D$15,(Datos!$D$15*Datos!$C$15),IF(G58&lt;=Datos!$D$15,(G58*Datos!$C$15)))</f>
        <v>684</v>
      </c>
      <c r="M58" s="162">
        <v>25</v>
      </c>
      <c r="N58" s="162">
        <f t="shared" ref="N58" si="52">SUM(J58:M58)</f>
        <v>1354.75</v>
      </c>
      <c r="O58" s="191">
        <f t="shared" ref="O58:O64" si="53">+G58-N58</f>
        <v>21145.25</v>
      </c>
    </row>
    <row r="59" spans="1:15" ht="36.75" customHeight="1" x14ac:dyDescent="0.2">
      <c r="A59" s="225">
        <v>33</v>
      </c>
      <c r="B59" s="227" t="s">
        <v>747</v>
      </c>
      <c r="C59" s="227" t="s">
        <v>412</v>
      </c>
      <c r="D59" s="227" t="s">
        <v>243</v>
      </c>
      <c r="E59" s="228" t="s">
        <v>280</v>
      </c>
      <c r="F59" s="228" t="s">
        <v>19</v>
      </c>
      <c r="G59" s="162">
        <v>26000</v>
      </c>
      <c r="H59" s="162">
        <v>0</v>
      </c>
      <c r="I59" s="162">
        <f t="shared" ref="I59:I64" si="54">SUM(G59:H59)</f>
        <v>26000</v>
      </c>
      <c r="J59" s="163">
        <f>IF(G59&gt;=Datos!$D$14,(Datos!$D$14*Datos!$C$14),IF(G59&lt;=Datos!$D$14,(G59*Datos!$C$14)))</f>
        <v>746.2</v>
      </c>
      <c r="K59" s="164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63">
        <f>IF(G59&gt;=Datos!$D$15,(Datos!$D$15*Datos!$C$15),IF(G59&lt;=Datos!$D$15,(G59*Datos!$C$15)))</f>
        <v>790.4</v>
      </c>
      <c r="M59" s="162">
        <v>25</v>
      </c>
      <c r="N59" s="162">
        <f t="shared" ref="N59:N62" si="55">SUM(J59:M59)</f>
        <v>1561.6</v>
      </c>
      <c r="O59" s="191">
        <f t="shared" ref="O59:O62" si="56">+G59-N59</f>
        <v>24438.400000000001</v>
      </c>
    </row>
    <row r="60" spans="1:15" ht="36.75" customHeight="1" x14ac:dyDescent="0.2">
      <c r="A60" s="225">
        <v>34</v>
      </c>
      <c r="B60" s="227" t="s">
        <v>909</v>
      </c>
      <c r="C60" s="227" t="s">
        <v>286</v>
      </c>
      <c r="D60" s="227" t="s">
        <v>253</v>
      </c>
      <c r="E60" s="228" t="s">
        <v>280</v>
      </c>
      <c r="F60" s="228" t="s">
        <v>281</v>
      </c>
      <c r="G60" s="162">
        <v>20000</v>
      </c>
      <c r="H60" s="162">
        <v>0</v>
      </c>
      <c r="I60" s="162">
        <f t="shared" ref="I60" si="57">SUM(G60:H60)</f>
        <v>20000</v>
      </c>
      <c r="J60" s="163">
        <f>IF(G60&gt;=Datos!$D$14,(Datos!$D$14*Datos!$C$14),IF(G60&lt;=Datos!$D$14,(G60*Datos!$C$14)))</f>
        <v>574</v>
      </c>
      <c r="K60" s="164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163">
        <f>IF(G60&gt;=Datos!$D$15,(Datos!$D$15*Datos!$C$15),IF(G60&lt;=Datos!$D$15,(G60*Datos!$C$15)))</f>
        <v>608</v>
      </c>
      <c r="M60" s="162">
        <v>2025</v>
      </c>
      <c r="N60" s="162">
        <f t="shared" ref="N60" si="58">SUM(J60:M60)</f>
        <v>3207</v>
      </c>
      <c r="O60" s="191">
        <f t="shared" ref="O60" si="59">+G60-N60</f>
        <v>16793</v>
      </c>
    </row>
    <row r="61" spans="1:15" ht="36.75" customHeight="1" x14ac:dyDescent="0.2">
      <c r="A61" s="225">
        <v>35</v>
      </c>
      <c r="B61" s="227" t="s">
        <v>1018</v>
      </c>
      <c r="C61" s="227" t="s">
        <v>332</v>
      </c>
      <c r="D61" s="227" t="s">
        <v>253</v>
      </c>
      <c r="E61" s="228" t="s">
        <v>280</v>
      </c>
      <c r="F61" s="228" t="s">
        <v>281</v>
      </c>
      <c r="G61" s="162">
        <v>20000</v>
      </c>
      <c r="H61" s="162">
        <v>0</v>
      </c>
      <c r="I61" s="162">
        <f t="shared" ref="I61" si="60">SUM(G61:H61)</f>
        <v>20000</v>
      </c>
      <c r="J61" s="163">
        <f>IF(G61&gt;=Datos!$D$14,(Datos!$D$14*Datos!$C$14),IF(G61&lt;=Datos!$D$14,(G61*Datos!$C$14)))</f>
        <v>574</v>
      </c>
      <c r="K61" s="164" t="str">
        <f>IF((G61-J61-L61)&lt;=Datos!$G$7,"0",IF((G61-J61-L61)&lt;=Datos!$G$8,((G61-J61-L61)-Datos!$F$8)*Datos!$I$6,IF((G61-J61-L61)&lt;=Datos!$G$9,Datos!$I$8+((G61-J61-L61)-Datos!$F$9)*Datos!$J$6,IF((G61-J61-L61)&gt;=Datos!$F$10,(Datos!$I$8+Datos!$J$8)+((G61-J61-L61)-Datos!$F$10)*Datos!$K$6))))</f>
        <v>0</v>
      </c>
      <c r="L61" s="163">
        <f>IF(G61&gt;=Datos!$D$15,(Datos!$D$15*Datos!$C$15),IF(G61&lt;=Datos!$D$15,(G61*Datos!$C$15)))</f>
        <v>608</v>
      </c>
      <c r="M61" s="162">
        <v>25</v>
      </c>
      <c r="N61" s="162">
        <f t="shared" ref="N61" si="61">SUM(J61:M61)</f>
        <v>1207</v>
      </c>
      <c r="O61" s="191">
        <f t="shared" ref="O61" si="62">+G61-N61</f>
        <v>18793</v>
      </c>
    </row>
    <row r="62" spans="1:15" ht="36.75" customHeight="1" x14ac:dyDescent="0.2">
      <c r="A62" s="225">
        <v>36</v>
      </c>
      <c r="B62" s="227" t="s">
        <v>121</v>
      </c>
      <c r="C62" s="227" t="s">
        <v>284</v>
      </c>
      <c r="D62" s="227" t="s">
        <v>253</v>
      </c>
      <c r="E62" s="228" t="s">
        <v>280</v>
      </c>
      <c r="F62" s="228" t="s">
        <v>281</v>
      </c>
      <c r="G62" s="162">
        <v>22500</v>
      </c>
      <c r="H62" s="162">
        <v>0</v>
      </c>
      <c r="I62" s="162">
        <f t="shared" ref="I62" si="63">SUM(G62:H62)</f>
        <v>22500</v>
      </c>
      <c r="J62" s="163">
        <f>IF(G62&gt;=Datos!$D$14,(Datos!$D$14*Datos!$C$14),IF(G62&lt;=Datos!$D$14,(G62*Datos!$C$14)))</f>
        <v>645.75</v>
      </c>
      <c r="K62" s="164" t="str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0</v>
      </c>
      <c r="L62" s="163">
        <f>IF(G62&gt;=Datos!$D$15,(Datos!$D$15*Datos!$C$15),IF(G62&lt;=Datos!$D$15,(G62*Datos!$C$15)))</f>
        <v>684</v>
      </c>
      <c r="M62" s="162">
        <v>25</v>
      </c>
      <c r="N62" s="162">
        <f t="shared" si="55"/>
        <v>1354.75</v>
      </c>
      <c r="O62" s="191">
        <f t="shared" si="56"/>
        <v>21145.25</v>
      </c>
    </row>
    <row r="63" spans="1:15" ht="36.75" customHeight="1" x14ac:dyDescent="0.2">
      <c r="A63" s="225">
        <v>37</v>
      </c>
      <c r="B63" s="227" t="s">
        <v>276</v>
      </c>
      <c r="C63" s="227" t="s">
        <v>285</v>
      </c>
      <c r="D63" s="227" t="s">
        <v>253</v>
      </c>
      <c r="E63" s="228" t="s">
        <v>280</v>
      </c>
      <c r="F63" s="228" t="s">
        <v>281</v>
      </c>
      <c r="G63" s="162">
        <v>22500</v>
      </c>
      <c r="H63" s="162">
        <v>0</v>
      </c>
      <c r="I63" s="162">
        <f t="shared" si="54"/>
        <v>22500</v>
      </c>
      <c r="J63" s="163">
        <f>IF(G63&gt;=Datos!$D$14,(Datos!$D$14*Datos!$C$14),IF(G63&lt;=Datos!$D$14,(G63*Datos!$C$14)))</f>
        <v>645.75</v>
      </c>
      <c r="K63" s="164" t="str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0</v>
      </c>
      <c r="L63" s="163">
        <f>IF(G63&gt;=Datos!$D$15,(Datos!$D$15*Datos!$C$15),IF(G63&lt;=Datos!$D$15,(G63*Datos!$C$15)))</f>
        <v>684</v>
      </c>
      <c r="M63" s="162">
        <v>25</v>
      </c>
      <c r="N63" s="162">
        <f t="shared" ref="N63:N64" si="64">SUM(J63:M63)</f>
        <v>1354.75</v>
      </c>
      <c r="O63" s="191">
        <f t="shared" si="53"/>
        <v>21145.25</v>
      </c>
    </row>
    <row r="64" spans="1:15" ht="36.75" customHeight="1" x14ac:dyDescent="0.2">
      <c r="A64" s="225">
        <v>38</v>
      </c>
      <c r="B64" s="227" t="s">
        <v>453</v>
      </c>
      <c r="C64" s="227" t="s">
        <v>412</v>
      </c>
      <c r="D64" s="99" t="s">
        <v>1019</v>
      </c>
      <c r="E64" s="228" t="s">
        <v>280</v>
      </c>
      <c r="F64" s="228" t="s">
        <v>19</v>
      </c>
      <c r="G64" s="162">
        <v>105000</v>
      </c>
      <c r="H64" s="162">
        <v>0</v>
      </c>
      <c r="I64" s="162">
        <f t="shared" si="54"/>
        <v>105000</v>
      </c>
      <c r="J64" s="163">
        <f>IF(G64&gt;=Datos!$D$14,(Datos!$D$14*Datos!$C$14),IF(G64&lt;=Datos!$D$14,(G64*Datos!$C$14)))</f>
        <v>3013.5</v>
      </c>
      <c r="K64" s="164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13281.485666666667</v>
      </c>
      <c r="L64" s="163">
        <f>IF(G64&gt;=Datos!$D$15,(Datos!$D$15*Datos!$C$15),IF(G64&lt;=Datos!$D$15,(G64*Datos!$C$15)))</f>
        <v>3192</v>
      </c>
      <c r="M64" s="162">
        <v>25</v>
      </c>
      <c r="N64" s="162">
        <f t="shared" si="64"/>
        <v>19511.985666666667</v>
      </c>
      <c r="O64" s="191">
        <f t="shared" si="53"/>
        <v>85488.014333333325</v>
      </c>
    </row>
    <row r="65" spans="1:15" s="234" customFormat="1" ht="36.75" customHeight="1" x14ac:dyDescent="0.2">
      <c r="A65" s="277" t="s">
        <v>455</v>
      </c>
      <c r="B65" s="278"/>
      <c r="C65" s="232">
        <v>7</v>
      </c>
      <c r="D65" s="232"/>
      <c r="E65" s="233"/>
      <c r="F65" s="166"/>
      <c r="G65" s="167">
        <f t="shared" ref="G65:O65" si="65">SUM(G58:G64)</f>
        <v>238500</v>
      </c>
      <c r="H65" s="167">
        <f t="shared" si="65"/>
        <v>0</v>
      </c>
      <c r="I65" s="167">
        <f t="shared" si="65"/>
        <v>238500</v>
      </c>
      <c r="J65" s="167">
        <f t="shared" si="65"/>
        <v>6844.95</v>
      </c>
      <c r="K65" s="167">
        <f t="shared" si="65"/>
        <v>13281.485666666667</v>
      </c>
      <c r="L65" s="167">
        <f t="shared" si="65"/>
        <v>7250.4</v>
      </c>
      <c r="M65" s="167">
        <f t="shared" si="65"/>
        <v>2175</v>
      </c>
      <c r="N65" s="167">
        <f t="shared" si="65"/>
        <v>29551.835666666666</v>
      </c>
      <c r="O65" s="167">
        <f t="shared" si="65"/>
        <v>208948.16433333332</v>
      </c>
    </row>
    <row r="66" spans="1:15" ht="36.75" customHeight="1" x14ac:dyDescent="0.2">
      <c r="A66" s="277" t="s">
        <v>500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46"/>
    </row>
    <row r="67" spans="1:15" ht="36.75" customHeight="1" x14ac:dyDescent="0.2">
      <c r="A67" s="225">
        <v>39</v>
      </c>
      <c r="B67" s="227" t="s">
        <v>748</v>
      </c>
      <c r="C67" s="227" t="s">
        <v>412</v>
      </c>
      <c r="D67" s="137" t="s">
        <v>567</v>
      </c>
      <c r="E67" s="228" t="s">
        <v>280</v>
      </c>
      <c r="F67" s="228" t="s">
        <v>19</v>
      </c>
      <c r="G67" s="162">
        <v>65000</v>
      </c>
      <c r="H67" s="162">
        <v>0</v>
      </c>
      <c r="I67" s="162">
        <f t="shared" ref="I67:I69" si="66">SUM(G67:H67)</f>
        <v>65000</v>
      </c>
      <c r="J67" s="163">
        <f>IF(G67&gt;=Datos!$D$14,(Datos!$D$14*Datos!$C$14),IF(G67&lt;=Datos!$D$14,(G67*Datos!$C$14)))</f>
        <v>1865.5</v>
      </c>
      <c r="K67" s="164">
        <v>2341.4899999999998</v>
      </c>
      <c r="L67" s="163">
        <f>IF(G67&gt;=Datos!$D$15,(Datos!$D$15*Datos!$C$15),IF(G67&lt;=Datos!$D$15,(G67*Datos!$C$15)))</f>
        <v>1976</v>
      </c>
      <c r="M67" s="162">
        <v>25</v>
      </c>
      <c r="N67" s="162">
        <f t="shared" ref="N67:N68" si="67">SUM(J67:M67)</f>
        <v>6207.99</v>
      </c>
      <c r="O67" s="191">
        <f t="shared" ref="O67:O68" si="68">+G67-N67</f>
        <v>58792.01</v>
      </c>
    </row>
    <row r="68" spans="1:15" ht="36.75" customHeight="1" x14ac:dyDescent="0.2">
      <c r="A68" s="225">
        <v>40</v>
      </c>
      <c r="B68" s="227" t="s">
        <v>566</v>
      </c>
      <c r="C68" s="227" t="s">
        <v>412</v>
      </c>
      <c r="D68" s="137" t="s">
        <v>567</v>
      </c>
      <c r="E68" s="228" t="s">
        <v>280</v>
      </c>
      <c r="F68" s="228" t="s">
        <v>19</v>
      </c>
      <c r="G68" s="162">
        <v>75000</v>
      </c>
      <c r="H68" s="162">
        <v>0</v>
      </c>
      <c r="I68" s="162">
        <f t="shared" ref="I68" si="69">SUM(G68:H68)</f>
        <v>75000</v>
      </c>
      <c r="J68" s="163">
        <f>IF(G68&gt;=Datos!$D$14,(Datos!$D$14*Datos!$C$14),IF(G68&lt;=Datos!$D$14,(G68*Datos!$C$14)))</f>
        <v>2152.5</v>
      </c>
      <c r="K68" s="164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6309.3756666666668</v>
      </c>
      <c r="L68" s="163">
        <f>IF(G68&gt;=Datos!$D$15,(Datos!$D$15*Datos!$C$15),IF(G68&lt;=Datos!$D$15,(G68*Datos!$C$15)))</f>
        <v>2280</v>
      </c>
      <c r="M68" s="162">
        <v>25</v>
      </c>
      <c r="N68" s="162">
        <f t="shared" si="67"/>
        <v>10766.875666666667</v>
      </c>
      <c r="O68" s="191">
        <f t="shared" si="68"/>
        <v>64233.124333333333</v>
      </c>
    </row>
    <row r="69" spans="1:15" ht="36.75" customHeight="1" x14ac:dyDescent="0.2">
      <c r="A69" s="225">
        <v>41</v>
      </c>
      <c r="B69" s="227" t="s">
        <v>201</v>
      </c>
      <c r="C69" s="227" t="s">
        <v>412</v>
      </c>
      <c r="D69" s="137" t="s">
        <v>567</v>
      </c>
      <c r="E69" s="228" t="s">
        <v>280</v>
      </c>
      <c r="F69" s="228" t="s">
        <v>19</v>
      </c>
      <c r="G69" s="162">
        <v>70000</v>
      </c>
      <c r="H69" s="162">
        <v>0</v>
      </c>
      <c r="I69" s="162">
        <f t="shared" si="66"/>
        <v>70000</v>
      </c>
      <c r="J69" s="163">
        <f>IF(G69&gt;=Datos!$D$14,(Datos!$D$14*Datos!$C$14),IF(G69&lt;=Datos!$D$14,(G69*Datos!$C$14)))</f>
        <v>2009</v>
      </c>
      <c r="K69" s="164">
        <v>5025.38</v>
      </c>
      <c r="L69" s="163">
        <f>IF(G69&gt;=Datos!$D$15,(Datos!$D$15*Datos!$C$15),IF(G69&lt;=Datos!$D$15,(G69*Datos!$C$15)))</f>
        <v>2128</v>
      </c>
      <c r="M69" s="162">
        <v>1740.46</v>
      </c>
      <c r="N69" s="162">
        <f t="shared" ref="N69" si="70">SUM(J69:M69)</f>
        <v>10902.84</v>
      </c>
      <c r="O69" s="191">
        <f t="shared" ref="O69" si="71">+G69-N69</f>
        <v>59097.16</v>
      </c>
    </row>
    <row r="70" spans="1:15" s="234" customFormat="1" ht="36.75" customHeight="1" x14ac:dyDescent="0.2">
      <c r="A70" s="277" t="s">
        <v>455</v>
      </c>
      <c r="B70" s="278"/>
      <c r="C70" s="232">
        <v>3</v>
      </c>
      <c r="D70" s="232"/>
      <c r="E70" s="233"/>
      <c r="F70" s="166"/>
      <c r="G70" s="167">
        <f t="shared" ref="G70:O70" si="72">SUM(G67:G69)</f>
        <v>210000</v>
      </c>
      <c r="H70" s="167">
        <f t="shared" si="72"/>
        <v>0</v>
      </c>
      <c r="I70" s="167">
        <f t="shared" si="72"/>
        <v>210000</v>
      </c>
      <c r="J70" s="167">
        <f t="shared" si="72"/>
        <v>6027</v>
      </c>
      <c r="K70" s="167">
        <f t="shared" si="72"/>
        <v>13676.245666666666</v>
      </c>
      <c r="L70" s="167">
        <f t="shared" si="72"/>
        <v>6384</v>
      </c>
      <c r="M70" s="167">
        <f t="shared" si="72"/>
        <v>1790.46</v>
      </c>
      <c r="N70" s="167">
        <f t="shared" si="72"/>
        <v>27877.705666666665</v>
      </c>
      <c r="O70" s="167">
        <f t="shared" si="72"/>
        <v>182122.29433333332</v>
      </c>
    </row>
    <row r="71" spans="1:15" ht="36.75" customHeight="1" x14ac:dyDescent="0.2">
      <c r="A71" s="277" t="s">
        <v>502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46"/>
    </row>
    <row r="72" spans="1:15" ht="36.75" customHeight="1" x14ac:dyDescent="0.2">
      <c r="A72" s="225">
        <v>42</v>
      </c>
      <c r="B72" s="227" t="s">
        <v>573</v>
      </c>
      <c r="C72" s="227" t="s">
        <v>332</v>
      </c>
      <c r="D72" s="227" t="s">
        <v>4</v>
      </c>
      <c r="E72" s="228" t="s">
        <v>280</v>
      </c>
      <c r="F72" s="228" t="s">
        <v>19</v>
      </c>
      <c r="G72" s="162">
        <v>21500</v>
      </c>
      <c r="H72" s="162">
        <v>0</v>
      </c>
      <c r="I72" s="162">
        <f t="shared" ref="I72:I145" si="73">SUM(G72:H72)</f>
        <v>21500</v>
      </c>
      <c r="J72" s="163">
        <f>IF(G72&gt;=Datos!$D$14,(Datos!$D$14*Datos!$C$14),IF(G72&lt;=Datos!$D$14,(G72*Datos!$C$14)))</f>
        <v>617.04999999999995</v>
      </c>
      <c r="K72" s="164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63">
        <f>IF(G72&gt;=Datos!$D$15,(Datos!$D$15*Datos!$C$15),IF(G72&lt;=Datos!$D$15,(G72*Datos!$C$15)))</f>
        <v>653.6</v>
      </c>
      <c r="M72" s="162">
        <v>25</v>
      </c>
      <c r="N72" s="162">
        <f t="shared" ref="N72" si="74">SUM(J72:M72)</f>
        <v>1295.6500000000001</v>
      </c>
      <c r="O72" s="191">
        <f t="shared" ref="O72" si="75">+G72-N72</f>
        <v>20204.349999999999</v>
      </c>
    </row>
    <row r="73" spans="1:15" ht="36.75" customHeight="1" x14ac:dyDescent="0.2">
      <c r="A73" s="225">
        <v>43</v>
      </c>
      <c r="B73" s="227" t="s">
        <v>574</v>
      </c>
      <c r="C73" s="227" t="s">
        <v>332</v>
      </c>
      <c r="D73" s="227" t="s">
        <v>4</v>
      </c>
      <c r="E73" s="228" t="s">
        <v>280</v>
      </c>
      <c r="F73" s="228" t="s">
        <v>19</v>
      </c>
      <c r="G73" s="162">
        <v>21500</v>
      </c>
      <c r="H73" s="162">
        <v>0</v>
      </c>
      <c r="I73" s="162">
        <f t="shared" si="73"/>
        <v>21500</v>
      </c>
      <c r="J73" s="163">
        <f>IF(G73&gt;=Datos!$D$14,(Datos!$D$14*Datos!$C$14),IF(G73&lt;=Datos!$D$14,(G73*Datos!$C$14)))</f>
        <v>617.04999999999995</v>
      </c>
      <c r="K73" s="164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63">
        <f>IF(G73&gt;=Datos!$D$15,(Datos!$D$15*Datos!$C$15),IF(G73&lt;=Datos!$D$15,(G73*Datos!$C$15)))</f>
        <v>653.6</v>
      </c>
      <c r="M73" s="162">
        <v>2025</v>
      </c>
      <c r="N73" s="162">
        <f t="shared" ref="N73:N75" si="76">SUM(J73:M73)</f>
        <v>3295.65</v>
      </c>
      <c r="O73" s="191">
        <f t="shared" ref="O73:O75" si="77">+G73-N73</f>
        <v>18204.349999999999</v>
      </c>
    </row>
    <row r="74" spans="1:15" ht="36.75" customHeight="1" x14ac:dyDescent="0.2">
      <c r="A74" s="225">
        <v>44</v>
      </c>
      <c r="B74" s="227" t="s">
        <v>575</v>
      </c>
      <c r="C74" s="227" t="s">
        <v>332</v>
      </c>
      <c r="D74" s="227" t="s">
        <v>576</v>
      </c>
      <c r="E74" s="228" t="s">
        <v>280</v>
      </c>
      <c r="F74" s="228" t="s">
        <v>19</v>
      </c>
      <c r="G74" s="162">
        <v>26000</v>
      </c>
      <c r="H74" s="162">
        <v>0</v>
      </c>
      <c r="I74" s="162">
        <f t="shared" si="73"/>
        <v>26000</v>
      </c>
      <c r="J74" s="163">
        <f>IF(G74&gt;=Datos!$D$14,(Datos!$D$14*Datos!$C$14),IF(G74&lt;=Datos!$D$14,(G74*Datos!$C$14)))</f>
        <v>746.2</v>
      </c>
      <c r="K74" s="164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63">
        <f>IF(G74&gt;=Datos!$D$15,(Datos!$D$15*Datos!$C$15),IF(G74&lt;=Datos!$D$15,(G74*Datos!$C$15)))</f>
        <v>790.4</v>
      </c>
      <c r="M74" s="162">
        <v>25</v>
      </c>
      <c r="N74" s="162">
        <f t="shared" si="76"/>
        <v>1561.6</v>
      </c>
      <c r="O74" s="191">
        <f t="shared" si="77"/>
        <v>24438.400000000001</v>
      </c>
    </row>
    <row r="75" spans="1:15" ht="36.75" customHeight="1" x14ac:dyDescent="0.2">
      <c r="A75" s="225">
        <v>45</v>
      </c>
      <c r="B75" s="227" t="s">
        <v>577</v>
      </c>
      <c r="C75" s="227" t="s">
        <v>332</v>
      </c>
      <c r="D75" s="227" t="s">
        <v>4</v>
      </c>
      <c r="E75" s="228" t="s">
        <v>280</v>
      </c>
      <c r="F75" s="228" t="s">
        <v>281</v>
      </c>
      <c r="G75" s="162">
        <v>21500</v>
      </c>
      <c r="H75" s="162">
        <v>0</v>
      </c>
      <c r="I75" s="162">
        <f t="shared" si="73"/>
        <v>21500</v>
      </c>
      <c r="J75" s="163">
        <f>IF(G75&gt;=Datos!$D$14,(Datos!$D$14*Datos!$C$14),IF(G75&lt;=Datos!$D$14,(G75*Datos!$C$14)))</f>
        <v>617.04999999999995</v>
      </c>
      <c r="K75" s="164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63">
        <f>IF(G75&gt;=Datos!$D$15,(Datos!$D$15*Datos!$C$15),IF(G75&lt;=Datos!$D$15,(G75*Datos!$C$15)))</f>
        <v>653.6</v>
      </c>
      <c r="M75" s="162">
        <v>25</v>
      </c>
      <c r="N75" s="162">
        <f t="shared" si="76"/>
        <v>1295.6500000000001</v>
      </c>
      <c r="O75" s="191">
        <f t="shared" si="77"/>
        <v>20204.349999999999</v>
      </c>
    </row>
    <row r="76" spans="1:15" ht="36.75" customHeight="1" x14ac:dyDescent="0.2">
      <c r="A76" s="225">
        <v>46</v>
      </c>
      <c r="B76" s="227" t="s">
        <v>578</v>
      </c>
      <c r="C76" s="227" t="s">
        <v>285</v>
      </c>
      <c r="D76" s="227" t="s">
        <v>4</v>
      </c>
      <c r="E76" s="228" t="s">
        <v>280</v>
      </c>
      <c r="F76" s="228" t="s">
        <v>19</v>
      </c>
      <c r="G76" s="162">
        <v>21500</v>
      </c>
      <c r="H76" s="162">
        <v>0</v>
      </c>
      <c r="I76" s="162">
        <f t="shared" si="73"/>
        <v>21500</v>
      </c>
      <c r="J76" s="163">
        <f>IF(G76&gt;=Datos!$D$14,(Datos!$D$14*Datos!$C$14),IF(G76&lt;=Datos!$D$14,(G76*Datos!$C$14)))</f>
        <v>617.04999999999995</v>
      </c>
      <c r="K76" s="164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63">
        <f>IF(G76&gt;=Datos!$D$15,(Datos!$D$15*Datos!$C$15),IF(G76&lt;=Datos!$D$15,(G76*Datos!$C$15)))</f>
        <v>653.6</v>
      </c>
      <c r="M76" s="162">
        <v>25</v>
      </c>
      <c r="N76" s="162">
        <f t="shared" ref="N76" si="78">SUM(J76:M76)</f>
        <v>1295.6500000000001</v>
      </c>
      <c r="O76" s="191">
        <f t="shared" ref="O76" si="79">+G76-N76</f>
        <v>20204.349999999999</v>
      </c>
    </row>
    <row r="77" spans="1:15" ht="36.75" customHeight="1" x14ac:dyDescent="0.2">
      <c r="A77" s="225">
        <v>47</v>
      </c>
      <c r="B77" s="227" t="s">
        <v>670</v>
      </c>
      <c r="C77" s="227" t="s">
        <v>332</v>
      </c>
      <c r="D77" s="227" t="s">
        <v>4</v>
      </c>
      <c r="E77" s="228" t="s">
        <v>280</v>
      </c>
      <c r="F77" s="228" t="s">
        <v>19</v>
      </c>
      <c r="G77" s="162">
        <v>21500</v>
      </c>
      <c r="H77" s="162">
        <v>0</v>
      </c>
      <c r="I77" s="162">
        <f t="shared" si="73"/>
        <v>21500</v>
      </c>
      <c r="J77" s="163">
        <f>IF(G77&gt;=Datos!$D$14,(Datos!$D$14*Datos!$C$14),IF(G77&lt;=Datos!$D$14,(G77*Datos!$C$14)))</f>
        <v>617.04999999999995</v>
      </c>
      <c r="K77" s="164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63">
        <f>IF(G77&gt;=Datos!$D$15,(Datos!$D$15*Datos!$C$15),IF(G77&lt;=Datos!$D$15,(G77*Datos!$C$15)))</f>
        <v>653.6</v>
      </c>
      <c r="M77" s="162">
        <v>25</v>
      </c>
      <c r="N77" s="162">
        <f t="shared" ref="N77:N79" si="80">SUM(J77:M77)</f>
        <v>1295.6500000000001</v>
      </c>
      <c r="O77" s="191">
        <f t="shared" ref="O77:O79" si="81">+G77-N77</f>
        <v>20204.349999999999</v>
      </c>
    </row>
    <row r="78" spans="1:15" ht="36.75" customHeight="1" x14ac:dyDescent="0.2">
      <c r="A78" s="225">
        <v>48</v>
      </c>
      <c r="B78" s="227" t="s">
        <v>671</v>
      </c>
      <c r="C78" s="227" t="s">
        <v>332</v>
      </c>
      <c r="D78" s="227" t="s">
        <v>4</v>
      </c>
      <c r="E78" s="228" t="s">
        <v>280</v>
      </c>
      <c r="F78" s="228" t="s">
        <v>19</v>
      </c>
      <c r="G78" s="162">
        <v>21500</v>
      </c>
      <c r="H78" s="162">
        <v>0</v>
      </c>
      <c r="I78" s="162">
        <f t="shared" si="73"/>
        <v>21500</v>
      </c>
      <c r="J78" s="163">
        <f>IF(G78&gt;=Datos!$D$14,(Datos!$D$14*Datos!$C$14),IF(G78&lt;=Datos!$D$14,(G78*Datos!$C$14)))</f>
        <v>617.04999999999995</v>
      </c>
      <c r="K78" s="164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63">
        <f>IF(G78&gt;=Datos!$D$15,(Datos!$D$15*Datos!$C$15),IF(G78&lt;=Datos!$D$15,(G78*Datos!$C$15)))</f>
        <v>653.6</v>
      </c>
      <c r="M78" s="162">
        <v>25</v>
      </c>
      <c r="N78" s="162">
        <f t="shared" si="80"/>
        <v>1295.6500000000001</v>
      </c>
      <c r="O78" s="191">
        <f t="shared" si="81"/>
        <v>20204.349999999999</v>
      </c>
    </row>
    <row r="79" spans="1:15" ht="36.75" customHeight="1" x14ac:dyDescent="0.2">
      <c r="A79" s="225">
        <v>49</v>
      </c>
      <c r="B79" s="227" t="s">
        <v>672</v>
      </c>
      <c r="C79" s="227" t="s">
        <v>332</v>
      </c>
      <c r="D79" s="227" t="s">
        <v>4</v>
      </c>
      <c r="E79" s="228" t="s">
        <v>280</v>
      </c>
      <c r="F79" s="228" t="s">
        <v>19</v>
      </c>
      <c r="G79" s="162">
        <v>21500</v>
      </c>
      <c r="H79" s="162">
        <v>0</v>
      </c>
      <c r="I79" s="162">
        <f t="shared" si="73"/>
        <v>21500</v>
      </c>
      <c r="J79" s="163">
        <f>IF(G79&gt;=Datos!$D$14,(Datos!$D$14*Datos!$C$14),IF(G79&lt;=Datos!$D$14,(G79*Datos!$C$14)))</f>
        <v>617.04999999999995</v>
      </c>
      <c r="K79" s="164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63">
        <f>IF(G79&gt;=Datos!$D$15,(Datos!$D$15*Datos!$C$15),IF(G79&lt;=Datos!$D$15,(G79*Datos!$C$15)))</f>
        <v>653.6</v>
      </c>
      <c r="M79" s="162">
        <v>25</v>
      </c>
      <c r="N79" s="162">
        <f t="shared" si="80"/>
        <v>1295.6500000000001</v>
      </c>
      <c r="O79" s="191">
        <f t="shared" si="81"/>
        <v>20204.349999999999</v>
      </c>
    </row>
    <row r="80" spans="1:15" ht="36.75" customHeight="1" x14ac:dyDescent="0.2">
      <c r="A80" s="225">
        <v>50</v>
      </c>
      <c r="B80" s="227" t="s">
        <v>749</v>
      </c>
      <c r="C80" s="227" t="s">
        <v>332</v>
      </c>
      <c r="D80" s="227" t="s">
        <v>4</v>
      </c>
      <c r="E80" s="228" t="s">
        <v>280</v>
      </c>
      <c r="F80" s="228" t="s">
        <v>19</v>
      </c>
      <c r="G80" s="162">
        <v>21500</v>
      </c>
      <c r="H80" s="162">
        <v>0</v>
      </c>
      <c r="I80" s="162">
        <f t="shared" si="73"/>
        <v>21500</v>
      </c>
      <c r="J80" s="163">
        <f>IF(G80&gt;=Datos!$D$14,(Datos!$D$14*Datos!$C$14),IF(G80&lt;=Datos!$D$14,(G80*Datos!$C$14)))</f>
        <v>617.04999999999995</v>
      </c>
      <c r="K80" s="164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63">
        <f>IF(G80&gt;=Datos!$D$15,(Datos!$D$15*Datos!$C$15),IF(G80&lt;=Datos!$D$15,(G80*Datos!$C$15)))</f>
        <v>653.6</v>
      </c>
      <c r="M80" s="162">
        <v>2125</v>
      </c>
      <c r="N80" s="162">
        <f t="shared" ref="N80" si="82">SUM(J80:M80)</f>
        <v>3395.65</v>
      </c>
      <c r="O80" s="191">
        <f t="shared" ref="O80" si="83">+G80-N80</f>
        <v>18104.349999999999</v>
      </c>
    </row>
    <row r="81" spans="1:15" ht="36.75" customHeight="1" x14ac:dyDescent="0.2">
      <c r="A81" s="225">
        <v>51</v>
      </c>
      <c r="B81" s="227" t="s">
        <v>750</v>
      </c>
      <c r="C81" s="227" t="s">
        <v>285</v>
      </c>
      <c r="D81" s="227" t="s">
        <v>4</v>
      </c>
      <c r="E81" s="228" t="s">
        <v>280</v>
      </c>
      <c r="F81" s="228" t="s">
        <v>19</v>
      </c>
      <c r="G81" s="162">
        <v>21500</v>
      </c>
      <c r="H81" s="162">
        <v>0</v>
      </c>
      <c r="I81" s="162">
        <f t="shared" si="73"/>
        <v>21500</v>
      </c>
      <c r="J81" s="163">
        <f>IF(G81&gt;=Datos!$D$14,(Datos!$D$14*Datos!$C$14),IF(G81&lt;=Datos!$D$14,(G81*Datos!$C$14)))</f>
        <v>617.04999999999995</v>
      </c>
      <c r="K81" s="164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63">
        <f>IF(G81&gt;=Datos!$D$15,(Datos!$D$15*Datos!$C$15),IF(G81&lt;=Datos!$D$15,(G81*Datos!$C$15)))</f>
        <v>653.6</v>
      </c>
      <c r="M81" s="162">
        <v>25</v>
      </c>
      <c r="N81" s="162">
        <f t="shared" ref="N81:N84" si="84">SUM(J81:M81)</f>
        <v>1295.6500000000001</v>
      </c>
      <c r="O81" s="191">
        <f t="shared" ref="O81:O84" si="85">+G81-N81</f>
        <v>20204.349999999999</v>
      </c>
    </row>
    <row r="82" spans="1:15" ht="36.75" customHeight="1" x14ac:dyDescent="0.2">
      <c r="A82" s="225">
        <v>52</v>
      </c>
      <c r="B82" s="227" t="s">
        <v>751</v>
      </c>
      <c r="C82" s="227" t="s">
        <v>659</v>
      </c>
      <c r="D82" s="227" t="s">
        <v>4</v>
      </c>
      <c r="E82" s="228" t="s">
        <v>280</v>
      </c>
      <c r="F82" s="228" t="s">
        <v>19</v>
      </c>
      <c r="G82" s="162">
        <v>21500</v>
      </c>
      <c r="H82" s="162">
        <v>0</v>
      </c>
      <c r="I82" s="162">
        <f t="shared" si="73"/>
        <v>21500</v>
      </c>
      <c r="J82" s="163">
        <f>IF(G82&gt;=Datos!$D$14,(Datos!$D$14*Datos!$C$14),IF(G82&lt;=Datos!$D$14,(G82*Datos!$C$14)))</f>
        <v>617.04999999999995</v>
      </c>
      <c r="K82" s="164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63">
        <f>IF(G82&gt;=Datos!$D$15,(Datos!$D$15*Datos!$C$15),IF(G82&lt;=Datos!$D$15,(G82*Datos!$C$15)))</f>
        <v>653.6</v>
      </c>
      <c r="M82" s="162">
        <v>3025</v>
      </c>
      <c r="N82" s="162">
        <f t="shared" si="84"/>
        <v>4295.6499999999996</v>
      </c>
      <c r="O82" s="191">
        <f t="shared" si="85"/>
        <v>17204.349999999999</v>
      </c>
    </row>
    <row r="83" spans="1:15" ht="36.75" customHeight="1" x14ac:dyDescent="0.2">
      <c r="A83" s="225">
        <v>53</v>
      </c>
      <c r="B83" s="227" t="s">
        <v>752</v>
      </c>
      <c r="C83" s="227" t="s">
        <v>659</v>
      </c>
      <c r="D83" s="227" t="s">
        <v>4</v>
      </c>
      <c r="E83" s="228" t="s">
        <v>280</v>
      </c>
      <c r="F83" s="228" t="s">
        <v>19</v>
      </c>
      <c r="G83" s="162">
        <v>21500</v>
      </c>
      <c r="H83" s="162">
        <v>0</v>
      </c>
      <c r="I83" s="162">
        <f t="shared" si="73"/>
        <v>21500</v>
      </c>
      <c r="J83" s="163">
        <f>IF(G83&gt;=Datos!$D$14,(Datos!$D$14*Datos!$C$14),IF(G83&lt;=Datos!$D$14,(G83*Datos!$C$14)))</f>
        <v>617.04999999999995</v>
      </c>
      <c r="K83" s="164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63">
        <f>IF(G83&gt;=Datos!$D$15,(Datos!$D$15*Datos!$C$15),IF(G83&lt;=Datos!$D$15,(G83*Datos!$C$15)))</f>
        <v>653.6</v>
      </c>
      <c r="M83" s="162">
        <v>25</v>
      </c>
      <c r="N83" s="162">
        <f t="shared" si="84"/>
        <v>1295.6500000000001</v>
      </c>
      <c r="O83" s="191">
        <f t="shared" si="85"/>
        <v>20204.349999999999</v>
      </c>
    </row>
    <row r="84" spans="1:15" ht="36.75" customHeight="1" x14ac:dyDescent="0.2">
      <c r="A84" s="225">
        <v>54</v>
      </c>
      <c r="B84" s="247" t="s">
        <v>753</v>
      </c>
      <c r="C84" s="227" t="s">
        <v>659</v>
      </c>
      <c r="D84" s="137" t="s">
        <v>4</v>
      </c>
      <c r="E84" s="228" t="s">
        <v>280</v>
      </c>
      <c r="F84" s="228" t="s">
        <v>19</v>
      </c>
      <c r="G84" s="162">
        <v>21500</v>
      </c>
      <c r="H84" s="162">
        <v>0</v>
      </c>
      <c r="I84" s="162">
        <f t="shared" si="73"/>
        <v>21500</v>
      </c>
      <c r="J84" s="163">
        <f>IF(G84&gt;=Datos!$D$14,(Datos!$D$14*Datos!$C$14),IF(G84&lt;=Datos!$D$14,(G84*Datos!$C$14)))</f>
        <v>617.04999999999995</v>
      </c>
      <c r="K84" s="164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63">
        <f>IF(G84&gt;=Datos!$D$15,(Datos!$D$15*Datos!$C$15),IF(G84&lt;=Datos!$D$15,(G84*Datos!$C$15)))</f>
        <v>653.6</v>
      </c>
      <c r="M84" s="162">
        <v>2025</v>
      </c>
      <c r="N84" s="162">
        <f t="shared" si="84"/>
        <v>3295.65</v>
      </c>
      <c r="O84" s="191">
        <f t="shared" si="85"/>
        <v>18204.349999999999</v>
      </c>
    </row>
    <row r="85" spans="1:15" ht="36.75" customHeight="1" x14ac:dyDescent="0.2">
      <c r="A85" s="225">
        <v>55</v>
      </c>
      <c r="B85" s="247" t="s">
        <v>795</v>
      </c>
      <c r="C85" s="227" t="s">
        <v>794</v>
      </c>
      <c r="D85" s="137" t="s">
        <v>4</v>
      </c>
      <c r="E85" s="228" t="s">
        <v>280</v>
      </c>
      <c r="F85" s="228" t="s">
        <v>19</v>
      </c>
      <c r="G85" s="162">
        <v>17000</v>
      </c>
      <c r="H85" s="162">
        <v>0</v>
      </c>
      <c r="I85" s="162">
        <f t="shared" si="73"/>
        <v>17000</v>
      </c>
      <c r="J85" s="163">
        <f>IF(G85&gt;=Datos!$D$14,(Datos!$D$14*Datos!$C$14),IF(G85&lt;=Datos!$D$14,(G85*Datos!$C$14)))</f>
        <v>487.9</v>
      </c>
      <c r="K85" s="164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63">
        <f>IF(G85&gt;=Datos!$D$15,(Datos!$D$15*Datos!$C$15),IF(G85&lt;=Datos!$D$15,(G85*Datos!$C$15)))</f>
        <v>516.79999999999995</v>
      </c>
      <c r="M85" s="162">
        <v>25</v>
      </c>
      <c r="N85" s="162">
        <f t="shared" ref="N85:N143" si="86">SUM(J85:M85)</f>
        <v>1029.6999999999998</v>
      </c>
      <c r="O85" s="191">
        <f t="shared" ref="O85:O143" si="87">+G85-N85</f>
        <v>15970.3</v>
      </c>
    </row>
    <row r="86" spans="1:15" ht="36.75" customHeight="1" x14ac:dyDescent="0.2">
      <c r="A86" s="225">
        <v>56</v>
      </c>
      <c r="B86" s="247" t="s">
        <v>796</v>
      </c>
      <c r="C86" s="227" t="s">
        <v>285</v>
      </c>
      <c r="D86" s="137" t="s">
        <v>4</v>
      </c>
      <c r="E86" s="228" t="s">
        <v>280</v>
      </c>
      <c r="F86" s="228" t="s">
        <v>19</v>
      </c>
      <c r="G86" s="162">
        <v>17500</v>
      </c>
      <c r="H86" s="162">
        <v>0</v>
      </c>
      <c r="I86" s="162">
        <f t="shared" si="73"/>
        <v>17500</v>
      </c>
      <c r="J86" s="163">
        <f>IF(G86&gt;=Datos!$D$14,(Datos!$D$14*Datos!$C$14),IF(G86&lt;=Datos!$D$14,(G86*Datos!$C$14)))</f>
        <v>502.25</v>
      </c>
      <c r="K86" s="164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63">
        <f>IF(G86&gt;=Datos!$D$15,(Datos!$D$15*Datos!$C$15),IF(G86&lt;=Datos!$D$15,(G86*Datos!$C$15)))</f>
        <v>532</v>
      </c>
      <c r="M86" s="162">
        <v>25</v>
      </c>
      <c r="N86" s="162">
        <f t="shared" si="86"/>
        <v>1059.25</v>
      </c>
      <c r="O86" s="191">
        <f t="shared" si="87"/>
        <v>16440.75</v>
      </c>
    </row>
    <row r="87" spans="1:15" ht="36.75" customHeight="1" x14ac:dyDescent="0.2">
      <c r="A87" s="225">
        <v>57</v>
      </c>
      <c r="B87" s="227" t="s">
        <v>910</v>
      </c>
      <c r="C87" s="227" t="s">
        <v>332</v>
      </c>
      <c r="D87" s="227" t="s">
        <v>4</v>
      </c>
      <c r="E87" s="228" t="s">
        <v>280</v>
      </c>
      <c r="F87" s="228" t="s">
        <v>281</v>
      </c>
      <c r="G87" s="162">
        <v>17500</v>
      </c>
      <c r="H87" s="162">
        <v>0</v>
      </c>
      <c r="I87" s="162">
        <f t="shared" si="73"/>
        <v>17500</v>
      </c>
      <c r="J87" s="163">
        <f>IF(G87&gt;=Datos!$D$14,(Datos!$D$14*Datos!$C$14),IF(G87&lt;=Datos!$D$14,(G87*Datos!$C$14)))</f>
        <v>502.25</v>
      </c>
      <c r="K87" s="164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63">
        <f>IF(G87&gt;=Datos!$D$15,(Datos!$D$15*Datos!$C$15),IF(G87&lt;=Datos!$D$15,(G87*Datos!$C$15)))</f>
        <v>532</v>
      </c>
      <c r="M87" s="162">
        <v>25</v>
      </c>
      <c r="N87" s="162">
        <f t="shared" si="86"/>
        <v>1059.25</v>
      </c>
      <c r="O87" s="191">
        <f t="shared" si="87"/>
        <v>16440.75</v>
      </c>
    </row>
    <row r="88" spans="1:15" ht="36.75" customHeight="1" x14ac:dyDescent="0.2">
      <c r="A88" s="225">
        <v>58</v>
      </c>
      <c r="B88" s="227" t="s">
        <v>911</v>
      </c>
      <c r="C88" s="227" t="s">
        <v>794</v>
      </c>
      <c r="D88" s="227" t="s">
        <v>4</v>
      </c>
      <c r="E88" s="228" t="s">
        <v>280</v>
      </c>
      <c r="F88" s="228" t="s">
        <v>19</v>
      </c>
      <c r="G88" s="162">
        <v>17500</v>
      </c>
      <c r="H88" s="162">
        <v>0</v>
      </c>
      <c r="I88" s="162">
        <f t="shared" si="73"/>
        <v>17500</v>
      </c>
      <c r="J88" s="163">
        <f>IF(G88&gt;=Datos!$D$14,(Datos!$D$14*Datos!$C$14),IF(G88&lt;=Datos!$D$14,(G88*Datos!$C$14)))</f>
        <v>502.25</v>
      </c>
      <c r="K88" s="164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63">
        <f>IF(G88&gt;=Datos!$D$15,(Datos!$D$15*Datos!$C$15),IF(G88&lt;=Datos!$D$15,(G88*Datos!$C$15)))</f>
        <v>532</v>
      </c>
      <c r="M88" s="162">
        <v>25</v>
      </c>
      <c r="N88" s="162">
        <f t="shared" si="86"/>
        <v>1059.25</v>
      </c>
      <c r="O88" s="191">
        <f t="shared" si="87"/>
        <v>16440.75</v>
      </c>
    </row>
    <row r="89" spans="1:15" ht="36.75" customHeight="1" x14ac:dyDescent="0.2">
      <c r="A89" s="225">
        <v>59</v>
      </c>
      <c r="B89" s="227" t="s">
        <v>912</v>
      </c>
      <c r="C89" s="227" t="s">
        <v>332</v>
      </c>
      <c r="D89" s="227" t="s">
        <v>4</v>
      </c>
      <c r="E89" s="228" t="s">
        <v>280</v>
      </c>
      <c r="F89" s="228" t="s">
        <v>19</v>
      </c>
      <c r="G89" s="162">
        <v>17500</v>
      </c>
      <c r="H89" s="162">
        <v>0</v>
      </c>
      <c r="I89" s="162">
        <f t="shared" si="73"/>
        <v>17500</v>
      </c>
      <c r="J89" s="163">
        <f>IF(G89&gt;=Datos!$D$14,(Datos!$D$14*Datos!$C$14),IF(G89&lt;=Datos!$D$14,(G89*Datos!$C$14)))</f>
        <v>502.25</v>
      </c>
      <c r="K89" s="164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63">
        <f>IF(G89&gt;=Datos!$D$15,(Datos!$D$15*Datos!$C$15),IF(G89&lt;=Datos!$D$15,(G89*Datos!$C$15)))</f>
        <v>532</v>
      </c>
      <c r="M89" s="162">
        <v>2025</v>
      </c>
      <c r="N89" s="162">
        <f t="shared" si="86"/>
        <v>3059.25</v>
      </c>
      <c r="O89" s="191">
        <f t="shared" si="87"/>
        <v>14440.75</v>
      </c>
    </row>
    <row r="90" spans="1:15" ht="36.75" customHeight="1" x14ac:dyDescent="0.2">
      <c r="A90" s="225">
        <v>60</v>
      </c>
      <c r="B90" s="227" t="s">
        <v>913</v>
      </c>
      <c r="C90" s="227" t="s">
        <v>332</v>
      </c>
      <c r="D90" s="227" t="s">
        <v>4</v>
      </c>
      <c r="E90" s="228" t="s">
        <v>280</v>
      </c>
      <c r="F90" s="228" t="s">
        <v>19</v>
      </c>
      <c r="G90" s="162">
        <v>17500</v>
      </c>
      <c r="H90" s="162">
        <v>0</v>
      </c>
      <c r="I90" s="162">
        <f t="shared" si="73"/>
        <v>17500</v>
      </c>
      <c r="J90" s="163">
        <f>IF(G90&gt;=Datos!$D$14,(Datos!$D$14*Datos!$C$14),IF(G90&lt;=Datos!$D$14,(G90*Datos!$C$14)))</f>
        <v>502.25</v>
      </c>
      <c r="K90" s="164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63">
        <f>IF(G90&gt;=Datos!$D$15,(Datos!$D$15*Datos!$C$15),IF(G90&lt;=Datos!$D$15,(G90*Datos!$C$15)))</f>
        <v>532</v>
      </c>
      <c r="M90" s="162">
        <v>25</v>
      </c>
      <c r="N90" s="162">
        <f t="shared" si="86"/>
        <v>1059.25</v>
      </c>
      <c r="O90" s="191">
        <f t="shared" si="87"/>
        <v>16440.75</v>
      </c>
    </row>
    <row r="91" spans="1:15" ht="36.75" customHeight="1" x14ac:dyDescent="0.2">
      <c r="A91" s="225">
        <v>61</v>
      </c>
      <c r="B91" s="227" t="s">
        <v>914</v>
      </c>
      <c r="C91" s="227" t="s">
        <v>332</v>
      </c>
      <c r="D91" s="227" t="s">
        <v>4</v>
      </c>
      <c r="E91" s="228" t="s">
        <v>280</v>
      </c>
      <c r="F91" s="228" t="s">
        <v>19</v>
      </c>
      <c r="G91" s="162">
        <v>17500</v>
      </c>
      <c r="H91" s="162">
        <v>0</v>
      </c>
      <c r="I91" s="162">
        <f t="shared" si="73"/>
        <v>17500</v>
      </c>
      <c r="J91" s="163">
        <f>IF(G91&gt;=Datos!$D$14,(Datos!$D$14*Datos!$C$14),IF(G91&lt;=Datos!$D$14,(G91*Datos!$C$14)))</f>
        <v>502.25</v>
      </c>
      <c r="K91" s="164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63">
        <f>IF(G91&gt;=Datos!$D$15,(Datos!$D$15*Datos!$C$15),IF(G91&lt;=Datos!$D$15,(G91*Datos!$C$15)))</f>
        <v>532</v>
      </c>
      <c r="M91" s="162">
        <v>25</v>
      </c>
      <c r="N91" s="162">
        <f t="shared" si="86"/>
        <v>1059.25</v>
      </c>
      <c r="O91" s="191">
        <f t="shared" si="87"/>
        <v>16440.75</v>
      </c>
    </row>
    <row r="92" spans="1:15" ht="36.75" customHeight="1" x14ac:dyDescent="0.2">
      <c r="A92" s="225">
        <v>62</v>
      </c>
      <c r="B92" s="226" t="s">
        <v>915</v>
      </c>
      <c r="C92" s="227" t="s">
        <v>285</v>
      </c>
      <c r="D92" s="227" t="s">
        <v>4</v>
      </c>
      <c r="E92" s="228" t="s">
        <v>280</v>
      </c>
      <c r="F92" s="228" t="s">
        <v>281</v>
      </c>
      <c r="G92" s="138">
        <v>17500</v>
      </c>
      <c r="H92" s="162">
        <v>0</v>
      </c>
      <c r="I92" s="162">
        <f t="shared" si="73"/>
        <v>17500</v>
      </c>
      <c r="J92" s="163">
        <f>IF(G92&gt;=Datos!$D$14,(Datos!$D$14*Datos!$C$14),IF(G92&lt;=Datos!$D$14,(G92*Datos!$C$14)))</f>
        <v>502.25</v>
      </c>
      <c r="K92" s="164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63">
        <f>IF(G92&gt;=Datos!$D$15,(Datos!$D$15*Datos!$C$15),IF(G92&lt;=Datos!$D$15,(G92*Datos!$C$15)))</f>
        <v>532</v>
      </c>
      <c r="M92" s="162">
        <v>25</v>
      </c>
      <c r="N92" s="162">
        <f t="shared" si="86"/>
        <v>1059.25</v>
      </c>
      <c r="O92" s="191">
        <f t="shared" si="87"/>
        <v>16440.75</v>
      </c>
    </row>
    <row r="93" spans="1:15" ht="36.75" customHeight="1" x14ac:dyDescent="0.2">
      <c r="A93" s="225">
        <v>63</v>
      </c>
      <c r="B93" s="227" t="s">
        <v>916</v>
      </c>
      <c r="C93" s="227" t="s">
        <v>284</v>
      </c>
      <c r="D93" s="227" t="s">
        <v>4</v>
      </c>
      <c r="E93" s="228" t="s">
        <v>280</v>
      </c>
      <c r="F93" s="228" t="s">
        <v>281</v>
      </c>
      <c r="G93" s="162">
        <v>17500</v>
      </c>
      <c r="H93" s="162">
        <v>0</v>
      </c>
      <c r="I93" s="162">
        <f t="shared" si="73"/>
        <v>17500</v>
      </c>
      <c r="J93" s="163">
        <f>IF(G93&gt;=Datos!$D$14,(Datos!$D$14*Datos!$C$14),IF(G93&lt;=Datos!$D$14,(G93*Datos!$C$14)))</f>
        <v>502.25</v>
      </c>
      <c r="K93" s="164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63">
        <f>IF(G93&gt;=Datos!$D$15,(Datos!$D$15*Datos!$C$15),IF(G93&lt;=Datos!$D$15,(G93*Datos!$C$15)))</f>
        <v>532</v>
      </c>
      <c r="M93" s="162">
        <v>25</v>
      </c>
      <c r="N93" s="162">
        <f t="shared" si="86"/>
        <v>1059.25</v>
      </c>
      <c r="O93" s="191">
        <f t="shared" si="87"/>
        <v>16440.75</v>
      </c>
    </row>
    <row r="94" spans="1:15" ht="36.75" customHeight="1" x14ac:dyDescent="0.2">
      <c r="A94" s="225">
        <v>64</v>
      </c>
      <c r="B94" s="227" t="s">
        <v>917</v>
      </c>
      <c r="C94" s="227" t="s">
        <v>332</v>
      </c>
      <c r="D94" s="227" t="s">
        <v>4</v>
      </c>
      <c r="E94" s="228" t="s">
        <v>280</v>
      </c>
      <c r="F94" s="228" t="s">
        <v>19</v>
      </c>
      <c r="G94" s="162">
        <v>17500</v>
      </c>
      <c r="H94" s="162">
        <v>0</v>
      </c>
      <c r="I94" s="162">
        <f t="shared" si="73"/>
        <v>17500</v>
      </c>
      <c r="J94" s="163">
        <f>IF(G94&gt;=Datos!$D$14,(Datos!$D$14*Datos!$C$14),IF(G94&lt;=Datos!$D$14,(G94*Datos!$C$14)))</f>
        <v>502.25</v>
      </c>
      <c r="K94" s="164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63">
        <f>IF(G94&gt;=Datos!$D$15,(Datos!$D$15*Datos!$C$15),IF(G94&lt;=Datos!$D$15,(G94*Datos!$C$15)))</f>
        <v>532</v>
      </c>
      <c r="M94" s="162">
        <v>25</v>
      </c>
      <c r="N94" s="162">
        <f t="shared" si="86"/>
        <v>1059.25</v>
      </c>
      <c r="O94" s="191">
        <f t="shared" si="87"/>
        <v>16440.75</v>
      </c>
    </row>
    <row r="95" spans="1:15" ht="36.75" customHeight="1" x14ac:dyDescent="0.2">
      <c r="A95" s="225">
        <v>65</v>
      </c>
      <c r="B95" s="227" t="s">
        <v>1020</v>
      </c>
      <c r="C95" s="227" t="s">
        <v>284</v>
      </c>
      <c r="D95" s="227" t="s">
        <v>4</v>
      </c>
      <c r="E95" s="228" t="s">
        <v>280</v>
      </c>
      <c r="F95" s="228" t="s">
        <v>19</v>
      </c>
      <c r="G95" s="162">
        <v>17500</v>
      </c>
      <c r="H95" s="162">
        <v>0</v>
      </c>
      <c r="I95" s="162">
        <f t="shared" ref="I95:I102" si="88">SUM(G95:H95)</f>
        <v>17500</v>
      </c>
      <c r="J95" s="163">
        <f>IF(G95&gt;=Datos!$D$14,(Datos!$D$14*Datos!$C$14),IF(G95&lt;=Datos!$D$14,(G95*Datos!$C$14)))</f>
        <v>502.25</v>
      </c>
      <c r="K95" s="164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63">
        <f>IF(G95&gt;=Datos!$D$15,(Datos!$D$15*Datos!$C$15),IF(G95&lt;=Datos!$D$15,(G95*Datos!$C$15)))</f>
        <v>532</v>
      </c>
      <c r="M95" s="162">
        <v>25</v>
      </c>
      <c r="N95" s="162">
        <f t="shared" ref="N95:N102" si="89">SUM(J95:M95)</f>
        <v>1059.25</v>
      </c>
      <c r="O95" s="191">
        <f t="shared" ref="O95:O102" si="90">+G95-N95</f>
        <v>16440.75</v>
      </c>
    </row>
    <row r="96" spans="1:15" ht="36.75" customHeight="1" x14ac:dyDescent="0.2">
      <c r="A96" s="225">
        <v>66</v>
      </c>
      <c r="B96" s="227" t="s">
        <v>1021</v>
      </c>
      <c r="C96" s="227" t="s">
        <v>286</v>
      </c>
      <c r="D96" s="227" t="s">
        <v>576</v>
      </c>
      <c r="E96" s="228" t="s">
        <v>280</v>
      </c>
      <c r="F96" s="228" t="s">
        <v>19</v>
      </c>
      <c r="G96" s="162">
        <v>26000</v>
      </c>
      <c r="H96" s="162">
        <v>0</v>
      </c>
      <c r="I96" s="162">
        <f t="shared" si="88"/>
        <v>26000</v>
      </c>
      <c r="J96" s="163">
        <f>IF(G96&gt;=Datos!$D$14,(Datos!$D$14*Datos!$C$14),IF(G96&lt;=Datos!$D$14,(G96*Datos!$C$14)))</f>
        <v>746.2</v>
      </c>
      <c r="K96" s="164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63">
        <f>IF(G96&gt;=Datos!$D$15,(Datos!$D$15*Datos!$C$15),IF(G96&lt;=Datos!$D$15,(G96*Datos!$C$15)))</f>
        <v>790.4</v>
      </c>
      <c r="M96" s="162">
        <v>25</v>
      </c>
      <c r="N96" s="162">
        <f t="shared" si="89"/>
        <v>1561.6</v>
      </c>
      <c r="O96" s="191">
        <f t="shared" si="90"/>
        <v>24438.400000000001</v>
      </c>
    </row>
    <row r="97" spans="1:15" ht="36.75" customHeight="1" x14ac:dyDescent="0.2">
      <c r="A97" s="225">
        <v>67</v>
      </c>
      <c r="B97" s="227" t="s">
        <v>1022</v>
      </c>
      <c r="C97" s="227" t="s">
        <v>286</v>
      </c>
      <c r="D97" s="227" t="s">
        <v>4</v>
      </c>
      <c r="E97" s="228" t="s">
        <v>280</v>
      </c>
      <c r="F97" s="228" t="s">
        <v>281</v>
      </c>
      <c r="G97" s="162">
        <v>18000</v>
      </c>
      <c r="H97" s="162">
        <v>0</v>
      </c>
      <c r="I97" s="162">
        <f t="shared" si="88"/>
        <v>18000</v>
      </c>
      <c r="J97" s="163">
        <f>IF(G97&gt;=Datos!$D$14,(Datos!$D$14*Datos!$C$14),IF(G97&lt;=Datos!$D$14,(G97*Datos!$C$14)))</f>
        <v>516.6</v>
      </c>
      <c r="K97" s="164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63">
        <f>IF(G97&gt;=Datos!$D$15,(Datos!$D$15*Datos!$C$15),IF(G97&lt;=Datos!$D$15,(G97*Datos!$C$15)))</f>
        <v>547.20000000000005</v>
      </c>
      <c r="M97" s="162">
        <v>25</v>
      </c>
      <c r="N97" s="162">
        <f t="shared" si="89"/>
        <v>1088.8000000000002</v>
      </c>
      <c r="O97" s="191">
        <f t="shared" si="90"/>
        <v>16911.2</v>
      </c>
    </row>
    <row r="98" spans="1:15" ht="36.75" customHeight="1" x14ac:dyDescent="0.2">
      <c r="A98" s="225">
        <v>68</v>
      </c>
      <c r="B98" s="227" t="s">
        <v>1023</v>
      </c>
      <c r="C98" s="227" t="s">
        <v>794</v>
      </c>
      <c r="D98" s="227" t="s">
        <v>4</v>
      </c>
      <c r="E98" s="228" t="s">
        <v>280</v>
      </c>
      <c r="F98" s="228" t="s">
        <v>19</v>
      </c>
      <c r="G98" s="162">
        <v>17500</v>
      </c>
      <c r="H98" s="162">
        <v>0</v>
      </c>
      <c r="I98" s="162">
        <f t="shared" si="88"/>
        <v>17500</v>
      </c>
      <c r="J98" s="163">
        <f>IF(G98&gt;=Datos!$D$14,(Datos!$D$14*Datos!$C$14),IF(G98&lt;=Datos!$D$14,(G98*Datos!$C$14)))</f>
        <v>502.25</v>
      </c>
      <c r="K98" s="164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63">
        <f>IF(G98&gt;=Datos!$D$15,(Datos!$D$15*Datos!$C$15),IF(G98&lt;=Datos!$D$15,(G98*Datos!$C$15)))</f>
        <v>532</v>
      </c>
      <c r="M98" s="162">
        <v>25</v>
      </c>
      <c r="N98" s="162">
        <f t="shared" si="89"/>
        <v>1059.25</v>
      </c>
      <c r="O98" s="191">
        <f t="shared" si="90"/>
        <v>16440.75</v>
      </c>
    </row>
    <row r="99" spans="1:15" ht="36.75" customHeight="1" x14ac:dyDescent="0.2">
      <c r="A99" s="225">
        <v>69</v>
      </c>
      <c r="B99" s="227" t="s">
        <v>1024</v>
      </c>
      <c r="C99" s="227" t="s">
        <v>286</v>
      </c>
      <c r="D99" s="227" t="s">
        <v>4</v>
      </c>
      <c r="E99" s="228" t="s">
        <v>280</v>
      </c>
      <c r="F99" s="228" t="s">
        <v>19</v>
      </c>
      <c r="G99" s="162">
        <v>18000</v>
      </c>
      <c r="H99" s="162">
        <v>0</v>
      </c>
      <c r="I99" s="162">
        <f t="shared" si="88"/>
        <v>18000</v>
      </c>
      <c r="J99" s="163">
        <f>IF(G99&gt;=Datos!$D$14,(Datos!$D$14*Datos!$C$14),IF(G99&lt;=Datos!$D$14,(G99*Datos!$C$14)))</f>
        <v>516.6</v>
      </c>
      <c r="K99" s="164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63">
        <f>IF(G99&gt;=Datos!$D$15,(Datos!$D$15*Datos!$C$15),IF(G99&lt;=Datos!$D$15,(G99*Datos!$C$15)))</f>
        <v>547.20000000000005</v>
      </c>
      <c r="M99" s="162">
        <v>25</v>
      </c>
      <c r="N99" s="162">
        <f t="shared" si="89"/>
        <v>1088.8000000000002</v>
      </c>
      <c r="O99" s="191">
        <f t="shared" si="90"/>
        <v>16911.2</v>
      </c>
    </row>
    <row r="100" spans="1:15" ht="36.75" customHeight="1" x14ac:dyDescent="0.2">
      <c r="A100" s="225">
        <v>70</v>
      </c>
      <c r="B100" s="227" t="s">
        <v>1025</v>
      </c>
      <c r="C100" s="227" t="s">
        <v>332</v>
      </c>
      <c r="D100" s="227" t="s">
        <v>4</v>
      </c>
      <c r="E100" s="228" t="s">
        <v>280</v>
      </c>
      <c r="F100" s="228" t="s">
        <v>19</v>
      </c>
      <c r="G100" s="162">
        <v>17500</v>
      </c>
      <c r="H100" s="162">
        <v>0</v>
      </c>
      <c r="I100" s="162">
        <f t="shared" si="88"/>
        <v>17500</v>
      </c>
      <c r="J100" s="163">
        <f>IF(G100&gt;=Datos!$D$14,(Datos!$D$14*Datos!$C$14),IF(G100&lt;=Datos!$D$14,(G100*Datos!$C$14)))</f>
        <v>502.25</v>
      </c>
      <c r="K100" s="164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63">
        <f>IF(G100&gt;=Datos!$D$15,(Datos!$D$15*Datos!$C$15),IF(G100&lt;=Datos!$D$15,(G100*Datos!$C$15)))</f>
        <v>532</v>
      </c>
      <c r="M100" s="162">
        <v>25</v>
      </c>
      <c r="N100" s="162">
        <f t="shared" si="89"/>
        <v>1059.25</v>
      </c>
      <c r="O100" s="191">
        <f t="shared" si="90"/>
        <v>16440.75</v>
      </c>
    </row>
    <row r="101" spans="1:15" ht="36.75" customHeight="1" x14ac:dyDescent="0.2">
      <c r="A101" s="225">
        <v>71</v>
      </c>
      <c r="B101" s="227" t="s">
        <v>1026</v>
      </c>
      <c r="C101" s="227" t="s">
        <v>286</v>
      </c>
      <c r="D101" s="227" t="s">
        <v>4</v>
      </c>
      <c r="E101" s="228" t="s">
        <v>280</v>
      </c>
      <c r="F101" s="228" t="s">
        <v>19</v>
      </c>
      <c r="G101" s="162">
        <v>18000</v>
      </c>
      <c r="H101" s="162">
        <v>0</v>
      </c>
      <c r="I101" s="162">
        <f t="shared" si="88"/>
        <v>18000</v>
      </c>
      <c r="J101" s="163">
        <f>IF(G101&gt;=Datos!$D$14,(Datos!$D$14*Datos!$C$14),IF(G101&lt;=Datos!$D$14,(G101*Datos!$C$14)))</f>
        <v>516.6</v>
      </c>
      <c r="K101" s="164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63">
        <f>IF(G101&gt;=Datos!$D$15,(Datos!$D$15*Datos!$C$15),IF(G101&lt;=Datos!$D$15,(G101*Datos!$C$15)))</f>
        <v>547.20000000000005</v>
      </c>
      <c r="M101" s="162">
        <v>25</v>
      </c>
      <c r="N101" s="162">
        <f t="shared" si="89"/>
        <v>1088.8000000000002</v>
      </c>
      <c r="O101" s="191">
        <f t="shared" si="90"/>
        <v>16911.2</v>
      </c>
    </row>
    <row r="102" spans="1:15" ht="36.75" customHeight="1" x14ac:dyDescent="0.2">
      <c r="A102" s="225">
        <v>72</v>
      </c>
      <c r="B102" s="227" t="s">
        <v>1027</v>
      </c>
      <c r="C102" s="227" t="s">
        <v>794</v>
      </c>
      <c r="D102" s="227" t="s">
        <v>4</v>
      </c>
      <c r="E102" s="228" t="s">
        <v>280</v>
      </c>
      <c r="F102" s="228" t="s">
        <v>19</v>
      </c>
      <c r="G102" s="162">
        <v>17500</v>
      </c>
      <c r="H102" s="162">
        <v>0</v>
      </c>
      <c r="I102" s="162">
        <f t="shared" si="88"/>
        <v>17500</v>
      </c>
      <c r="J102" s="163">
        <f>IF(G102&gt;=Datos!$D$14,(Datos!$D$14*Datos!$C$14),IF(G102&lt;=Datos!$D$14,(G102*Datos!$C$14)))</f>
        <v>502.25</v>
      </c>
      <c r="K102" s="164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63">
        <f>IF(G102&gt;=Datos!$D$15,(Datos!$D$15*Datos!$C$15),IF(G102&lt;=Datos!$D$15,(G102*Datos!$C$15)))</f>
        <v>532</v>
      </c>
      <c r="M102" s="162">
        <v>25</v>
      </c>
      <c r="N102" s="162">
        <f t="shared" si="89"/>
        <v>1059.25</v>
      </c>
      <c r="O102" s="191">
        <f t="shared" si="90"/>
        <v>16440.75</v>
      </c>
    </row>
    <row r="103" spans="1:15" ht="36.75" customHeight="1" x14ac:dyDescent="0.2">
      <c r="A103" s="225">
        <v>73</v>
      </c>
      <c r="B103" s="227" t="s">
        <v>431</v>
      </c>
      <c r="C103" s="227" t="s">
        <v>286</v>
      </c>
      <c r="D103" s="227" t="s">
        <v>4</v>
      </c>
      <c r="E103" s="228" t="s">
        <v>280</v>
      </c>
      <c r="F103" s="228" t="s">
        <v>281</v>
      </c>
      <c r="G103" s="162">
        <v>21500</v>
      </c>
      <c r="H103" s="162">
        <v>0</v>
      </c>
      <c r="I103" s="162">
        <f t="shared" ref="I103" si="91">SUM(G103:H103)</f>
        <v>21500</v>
      </c>
      <c r="J103" s="163">
        <f>IF(G103&gt;=Datos!$D$14,(Datos!$D$14*Datos!$C$14),IF(G103&lt;=Datos!$D$14,(G103*Datos!$C$14)))</f>
        <v>617.04999999999995</v>
      </c>
      <c r="K103" s="164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63">
        <f>IF(G103&gt;=Datos!$D$15,(Datos!$D$15*Datos!$C$15),IF(G103&lt;=Datos!$D$15,(G103*Datos!$C$15)))</f>
        <v>653.6</v>
      </c>
      <c r="M103" s="162">
        <v>2025</v>
      </c>
      <c r="N103" s="162">
        <f t="shared" ref="N103:N111" si="92">SUM(J103:M103)</f>
        <v>3295.65</v>
      </c>
      <c r="O103" s="191">
        <f t="shared" ref="O103:O111" si="93">+G103-N103</f>
        <v>18204.349999999999</v>
      </c>
    </row>
    <row r="104" spans="1:15" ht="36.75" customHeight="1" x14ac:dyDescent="0.2">
      <c r="A104" s="225">
        <v>74</v>
      </c>
      <c r="B104" s="227" t="s">
        <v>57</v>
      </c>
      <c r="C104" s="227" t="s">
        <v>285</v>
      </c>
      <c r="D104" s="227" t="s">
        <v>4</v>
      </c>
      <c r="E104" s="228" t="s">
        <v>280</v>
      </c>
      <c r="F104" s="228" t="s">
        <v>19</v>
      </c>
      <c r="G104" s="162">
        <v>21500</v>
      </c>
      <c r="H104" s="162">
        <v>0</v>
      </c>
      <c r="I104" s="162">
        <f t="shared" ref="I104" si="94">SUM(G104:H104)</f>
        <v>21500</v>
      </c>
      <c r="J104" s="163">
        <f>IF(G104&gt;=Datos!$D$14,(Datos!$D$14*Datos!$C$14),IF(G104&lt;=Datos!$D$14,(G104*Datos!$C$14)))</f>
        <v>617.04999999999995</v>
      </c>
      <c r="K104" s="164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63">
        <f>IF(G104&gt;=Datos!$D$15,(Datos!$D$15*Datos!$C$15),IF(G104&lt;=Datos!$D$15,(G104*Datos!$C$15)))</f>
        <v>653.6</v>
      </c>
      <c r="M104" s="162">
        <v>25</v>
      </c>
      <c r="N104" s="162">
        <f t="shared" si="92"/>
        <v>1295.6500000000001</v>
      </c>
      <c r="O104" s="191">
        <f t="shared" si="93"/>
        <v>20204.349999999999</v>
      </c>
    </row>
    <row r="105" spans="1:15" ht="36.75" customHeight="1" x14ac:dyDescent="0.2">
      <c r="A105" s="225">
        <v>75</v>
      </c>
      <c r="B105" s="227" t="s">
        <v>41</v>
      </c>
      <c r="C105" s="227" t="s">
        <v>286</v>
      </c>
      <c r="D105" s="227" t="s">
        <v>4</v>
      </c>
      <c r="E105" s="228" t="s">
        <v>280</v>
      </c>
      <c r="F105" s="228" t="s">
        <v>19</v>
      </c>
      <c r="G105" s="162">
        <v>21500</v>
      </c>
      <c r="H105" s="162">
        <v>0</v>
      </c>
      <c r="I105" s="162">
        <f t="shared" ref="I105:I106" si="95">SUM(G105:H105)</f>
        <v>21500</v>
      </c>
      <c r="J105" s="163">
        <f>IF(G105&gt;=Datos!$D$14,(Datos!$D$14*Datos!$C$14),IF(G105&lt;=Datos!$D$14,(G105*Datos!$C$14)))</f>
        <v>617.04999999999995</v>
      </c>
      <c r="K105" s="164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63">
        <f>IF(G105&gt;=Datos!$D$15,(Datos!$D$15*Datos!$C$15),IF(G105&lt;=Datos!$D$15,(G105*Datos!$C$15)))</f>
        <v>653.6</v>
      </c>
      <c r="M105" s="162">
        <v>3068.16</v>
      </c>
      <c r="N105" s="162">
        <f t="shared" si="92"/>
        <v>4338.8099999999995</v>
      </c>
      <c r="O105" s="191">
        <f t="shared" si="93"/>
        <v>17161.190000000002</v>
      </c>
    </row>
    <row r="106" spans="1:15" ht="36.75" customHeight="1" x14ac:dyDescent="0.2">
      <c r="A106" s="225">
        <v>76</v>
      </c>
      <c r="B106" s="227" t="s">
        <v>759</v>
      </c>
      <c r="C106" s="227" t="s">
        <v>284</v>
      </c>
      <c r="D106" s="227" t="s">
        <v>4</v>
      </c>
      <c r="E106" s="228" t="s">
        <v>280</v>
      </c>
      <c r="F106" s="228" t="s">
        <v>19</v>
      </c>
      <c r="G106" s="162">
        <v>21500</v>
      </c>
      <c r="H106" s="162">
        <v>0</v>
      </c>
      <c r="I106" s="162">
        <f t="shared" si="95"/>
        <v>21500</v>
      </c>
      <c r="J106" s="163">
        <f>IF(G106&gt;=Datos!$D$14,(Datos!$D$14*Datos!$C$14),IF(G106&lt;=Datos!$D$14,(G106*Datos!$C$14)))</f>
        <v>617.04999999999995</v>
      </c>
      <c r="K106" s="164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63">
        <f>IF(G106&gt;=Datos!$D$15,(Datos!$D$15*Datos!$C$15),IF(G106&lt;=Datos!$D$15,(G106*Datos!$C$15)))</f>
        <v>653.6</v>
      </c>
      <c r="M106" s="162">
        <v>25</v>
      </c>
      <c r="N106" s="162">
        <f t="shared" si="92"/>
        <v>1295.6500000000001</v>
      </c>
      <c r="O106" s="191">
        <f t="shared" si="93"/>
        <v>20204.349999999999</v>
      </c>
    </row>
    <row r="107" spans="1:15" ht="36.75" customHeight="1" x14ac:dyDescent="0.2">
      <c r="A107" s="225">
        <v>77</v>
      </c>
      <c r="B107" s="227" t="s">
        <v>757</v>
      </c>
      <c r="C107" s="227" t="s">
        <v>285</v>
      </c>
      <c r="D107" s="227" t="s">
        <v>4</v>
      </c>
      <c r="E107" s="228" t="s">
        <v>280</v>
      </c>
      <c r="F107" s="228" t="s">
        <v>19</v>
      </c>
      <c r="G107" s="162">
        <v>21500</v>
      </c>
      <c r="H107" s="162">
        <v>0</v>
      </c>
      <c r="I107" s="162">
        <f t="shared" ref="I107:I113" si="96">SUM(G107:H107)</f>
        <v>21500</v>
      </c>
      <c r="J107" s="163">
        <f>IF(G107&gt;=Datos!$D$14,(Datos!$D$14*Datos!$C$14),IF(G107&lt;=Datos!$D$14,(G107*Datos!$C$14)))</f>
        <v>617.04999999999995</v>
      </c>
      <c r="K107" s="164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63">
        <f>IF(G107&gt;=Datos!$D$15,(Datos!$D$15*Datos!$C$15),IF(G107&lt;=Datos!$D$15,(G107*Datos!$C$15)))</f>
        <v>653.6</v>
      </c>
      <c r="M107" s="162">
        <v>25</v>
      </c>
      <c r="N107" s="162">
        <f t="shared" si="92"/>
        <v>1295.6500000000001</v>
      </c>
      <c r="O107" s="191">
        <f t="shared" si="93"/>
        <v>20204.349999999999</v>
      </c>
    </row>
    <row r="108" spans="1:15" ht="36.75" customHeight="1" x14ac:dyDescent="0.2">
      <c r="A108" s="225">
        <v>78</v>
      </c>
      <c r="B108" s="227" t="s">
        <v>131</v>
      </c>
      <c r="C108" s="227" t="s">
        <v>286</v>
      </c>
      <c r="D108" s="227" t="s">
        <v>4</v>
      </c>
      <c r="E108" s="228" t="s">
        <v>280</v>
      </c>
      <c r="F108" s="228" t="s">
        <v>281</v>
      </c>
      <c r="G108" s="162">
        <v>21500</v>
      </c>
      <c r="H108" s="162">
        <v>0</v>
      </c>
      <c r="I108" s="162">
        <f t="shared" si="96"/>
        <v>21500</v>
      </c>
      <c r="J108" s="163">
        <f>IF(G108&gt;=Datos!$D$14,(Datos!$D$14*Datos!$C$14),IF(G108&lt;=Datos!$D$14,(G108*Datos!$C$14)))</f>
        <v>617.04999999999995</v>
      </c>
      <c r="K108" s="164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63">
        <f>IF(G108&gt;=Datos!$D$15,(Datos!$D$15*Datos!$C$15),IF(G108&lt;=Datos!$D$15,(G108*Datos!$C$15)))</f>
        <v>653.6</v>
      </c>
      <c r="M108" s="162">
        <v>6589.88</v>
      </c>
      <c r="N108" s="162">
        <f t="shared" si="92"/>
        <v>7860.5300000000007</v>
      </c>
      <c r="O108" s="191">
        <f t="shared" si="93"/>
        <v>13639.47</v>
      </c>
    </row>
    <row r="109" spans="1:15" ht="36.75" customHeight="1" x14ac:dyDescent="0.2">
      <c r="A109" s="225">
        <v>79</v>
      </c>
      <c r="B109" s="227" t="s">
        <v>68</v>
      </c>
      <c r="C109" s="227" t="s">
        <v>285</v>
      </c>
      <c r="D109" s="227" t="s">
        <v>4</v>
      </c>
      <c r="E109" s="228" t="s">
        <v>280</v>
      </c>
      <c r="F109" s="228" t="s">
        <v>19</v>
      </c>
      <c r="G109" s="162">
        <v>21500</v>
      </c>
      <c r="H109" s="162">
        <v>0</v>
      </c>
      <c r="I109" s="162">
        <f t="shared" ref="I109" si="97">SUM(G109:H109)</f>
        <v>21500</v>
      </c>
      <c r="J109" s="163">
        <f>IF(G109&gt;=Datos!$D$14,(Datos!$D$14*Datos!$C$14),IF(G109&lt;=Datos!$D$14,(G109*Datos!$C$14)))</f>
        <v>617.04999999999995</v>
      </c>
      <c r="K109" s="164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63">
        <f>IF(G109&gt;=Datos!$D$15,(Datos!$D$15*Datos!$C$15),IF(G109&lt;=Datos!$D$15,(G109*Datos!$C$15)))</f>
        <v>653.6</v>
      </c>
      <c r="M109" s="162">
        <v>25</v>
      </c>
      <c r="N109" s="162">
        <f t="shared" si="92"/>
        <v>1295.6500000000001</v>
      </c>
      <c r="O109" s="191">
        <f t="shared" si="93"/>
        <v>20204.349999999999</v>
      </c>
    </row>
    <row r="110" spans="1:15" ht="36.75" customHeight="1" x14ac:dyDescent="0.2">
      <c r="A110" s="225">
        <v>80</v>
      </c>
      <c r="B110" s="227" t="s">
        <v>147</v>
      </c>
      <c r="C110" s="227" t="s">
        <v>286</v>
      </c>
      <c r="D110" s="227" t="s">
        <v>4</v>
      </c>
      <c r="E110" s="228" t="s">
        <v>280</v>
      </c>
      <c r="F110" s="228" t="s">
        <v>281</v>
      </c>
      <c r="G110" s="162">
        <v>21500</v>
      </c>
      <c r="H110" s="162">
        <v>0</v>
      </c>
      <c r="I110" s="162">
        <f t="shared" si="96"/>
        <v>21500</v>
      </c>
      <c r="J110" s="163">
        <f>IF(G110&gt;=Datos!$D$14,(Datos!$D$14*Datos!$C$14),IF(G110&lt;=Datos!$D$14,(G110*Datos!$C$14)))</f>
        <v>617.04999999999995</v>
      </c>
      <c r="K110" s="164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63">
        <f>IF(G110&gt;=Datos!$D$15,(Datos!$D$15*Datos!$C$15),IF(G110&lt;=Datos!$D$15,(G110*Datos!$C$15)))</f>
        <v>653.6</v>
      </c>
      <c r="M110" s="162">
        <v>5085.26</v>
      </c>
      <c r="N110" s="162">
        <f t="shared" si="92"/>
        <v>6355.91</v>
      </c>
      <c r="O110" s="191">
        <f t="shared" si="93"/>
        <v>15144.09</v>
      </c>
    </row>
    <row r="111" spans="1:15" ht="36.75" customHeight="1" x14ac:dyDescent="0.2">
      <c r="A111" s="225">
        <v>81</v>
      </c>
      <c r="B111" s="227" t="s">
        <v>74</v>
      </c>
      <c r="C111" s="227" t="s">
        <v>285</v>
      </c>
      <c r="D111" s="227" t="s">
        <v>4</v>
      </c>
      <c r="E111" s="228" t="s">
        <v>280</v>
      </c>
      <c r="F111" s="228" t="s">
        <v>281</v>
      </c>
      <c r="G111" s="162">
        <v>21500</v>
      </c>
      <c r="H111" s="162">
        <v>0</v>
      </c>
      <c r="I111" s="162">
        <f t="shared" si="96"/>
        <v>21500</v>
      </c>
      <c r="J111" s="163">
        <f>IF(G111&gt;=Datos!$D$14,(Datos!$D$14*Datos!$C$14),IF(G111&lt;=Datos!$D$14,(G111*Datos!$C$14)))</f>
        <v>617.04999999999995</v>
      </c>
      <c r="K111" s="164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63">
        <f>IF(G111&gt;=Datos!$D$15,(Datos!$D$15*Datos!$C$15),IF(G111&lt;=Datos!$D$15,(G111*Datos!$C$15)))</f>
        <v>653.6</v>
      </c>
      <c r="M111" s="162">
        <v>25</v>
      </c>
      <c r="N111" s="162">
        <f t="shared" si="92"/>
        <v>1295.6500000000001</v>
      </c>
      <c r="O111" s="191">
        <f t="shared" si="93"/>
        <v>20204.349999999999</v>
      </c>
    </row>
    <row r="112" spans="1:15" ht="36.75" customHeight="1" x14ac:dyDescent="0.2">
      <c r="A112" s="225">
        <v>82</v>
      </c>
      <c r="B112" s="227" t="s">
        <v>430</v>
      </c>
      <c r="C112" s="227" t="s">
        <v>285</v>
      </c>
      <c r="D112" s="227" t="s">
        <v>4</v>
      </c>
      <c r="E112" s="228" t="s">
        <v>280</v>
      </c>
      <c r="F112" s="228" t="s">
        <v>19</v>
      </c>
      <c r="G112" s="138">
        <v>21500</v>
      </c>
      <c r="H112" s="162">
        <v>0</v>
      </c>
      <c r="I112" s="162">
        <f t="shared" si="96"/>
        <v>21500</v>
      </c>
      <c r="J112" s="163">
        <f>IF(G112&gt;=Datos!$D$14,(Datos!$D$14*Datos!$C$14),IF(G112&lt;=Datos!$D$14,(G112*Datos!$C$14)))</f>
        <v>617.04999999999995</v>
      </c>
      <c r="K112" s="164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63">
        <f>IF(G112&gt;=Datos!$D$15,(Datos!$D$15*Datos!$C$15),IF(G112&lt;=Datos!$D$15,(G112*Datos!$C$15)))</f>
        <v>653.6</v>
      </c>
      <c r="M112" s="162">
        <v>25</v>
      </c>
      <c r="N112" s="162">
        <f>SUM(J112:M112)</f>
        <v>1295.6500000000001</v>
      </c>
      <c r="O112" s="191">
        <f>+G112-N112</f>
        <v>20204.349999999999</v>
      </c>
    </row>
    <row r="113" spans="1:15" ht="36.75" customHeight="1" x14ac:dyDescent="0.2">
      <c r="A113" s="225">
        <v>83</v>
      </c>
      <c r="B113" s="226" t="s">
        <v>192</v>
      </c>
      <c r="C113" s="227" t="s">
        <v>284</v>
      </c>
      <c r="D113" s="226" t="s">
        <v>4</v>
      </c>
      <c r="E113" s="228" t="s">
        <v>280</v>
      </c>
      <c r="F113" s="228" t="s">
        <v>19</v>
      </c>
      <c r="G113" s="138">
        <v>21500</v>
      </c>
      <c r="H113" s="162">
        <v>0</v>
      </c>
      <c r="I113" s="162">
        <f t="shared" si="96"/>
        <v>21500</v>
      </c>
      <c r="J113" s="163">
        <f>IF(G113&gt;=Datos!$D$14,(Datos!$D$14*Datos!$C$14),IF(G113&lt;=Datos!$D$14,(G113*Datos!$C$14)))</f>
        <v>617.04999999999995</v>
      </c>
      <c r="K113" s="164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63">
        <f>IF(G113&gt;=Datos!$D$15,(Datos!$D$15*Datos!$C$15),IF(G113&lt;=Datos!$D$15,(G113*Datos!$C$15)))</f>
        <v>653.6</v>
      </c>
      <c r="M113" s="162">
        <v>5539.74</v>
      </c>
      <c r="N113" s="162">
        <f t="shared" ref="N113" si="98">SUM(J113:M113)</f>
        <v>6810.3899999999994</v>
      </c>
      <c r="O113" s="191">
        <f t="shared" ref="O113" si="99">+G113-N113</f>
        <v>14689.61</v>
      </c>
    </row>
    <row r="114" spans="1:15" ht="36.75" customHeight="1" x14ac:dyDescent="0.2">
      <c r="A114" s="225">
        <v>84</v>
      </c>
      <c r="B114" s="227" t="s">
        <v>355</v>
      </c>
      <c r="C114" s="227" t="s">
        <v>285</v>
      </c>
      <c r="D114" s="227" t="s">
        <v>249</v>
      </c>
      <c r="E114" s="228" t="s">
        <v>280</v>
      </c>
      <c r="F114" s="228" t="s">
        <v>281</v>
      </c>
      <c r="G114" s="162">
        <v>18000</v>
      </c>
      <c r="H114" s="162">
        <v>0</v>
      </c>
      <c r="I114" s="162">
        <f t="shared" ref="I114" si="100">SUM(G114:H114)</f>
        <v>18000</v>
      </c>
      <c r="J114" s="163">
        <f>IF(G114&gt;=Datos!$D$14,(Datos!$D$14*Datos!$C$14),IF(G114&lt;=Datos!$D$14,(G114*Datos!$C$14)))</f>
        <v>516.6</v>
      </c>
      <c r="K114" s="164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63">
        <f>IF(G114&gt;=Datos!$D$15,(Datos!$D$15*Datos!$C$15),IF(G114&lt;=Datos!$D$15,(G114*Datos!$C$15)))</f>
        <v>547.20000000000005</v>
      </c>
      <c r="M114" s="162">
        <v>25</v>
      </c>
      <c r="N114" s="162">
        <f t="shared" ref="N114:N125" si="101">SUM(J114:M114)</f>
        <v>1088.8000000000002</v>
      </c>
      <c r="O114" s="191">
        <f t="shared" ref="O114:O125" si="102">+G114-N114</f>
        <v>16911.2</v>
      </c>
    </row>
    <row r="115" spans="1:15" ht="36.75" customHeight="1" x14ac:dyDescent="0.2">
      <c r="A115" s="225">
        <v>85</v>
      </c>
      <c r="B115" s="227" t="s">
        <v>271</v>
      </c>
      <c r="C115" s="227" t="s">
        <v>285</v>
      </c>
      <c r="D115" s="227" t="s">
        <v>4</v>
      </c>
      <c r="E115" s="228" t="s">
        <v>280</v>
      </c>
      <c r="F115" s="228" t="s">
        <v>19</v>
      </c>
      <c r="G115" s="162">
        <v>21500</v>
      </c>
      <c r="H115" s="162">
        <v>0</v>
      </c>
      <c r="I115" s="162">
        <f t="shared" ref="I115" si="103">SUM(G115:H115)</f>
        <v>21500</v>
      </c>
      <c r="J115" s="163">
        <f>IF(G115&gt;=Datos!$D$14,(Datos!$D$14*Datos!$C$14),IF(G115&lt;=Datos!$D$14,(G115*Datos!$C$14)))</f>
        <v>617.04999999999995</v>
      </c>
      <c r="K115" s="164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63">
        <f>IF(G115&gt;=Datos!$D$15,(Datos!$D$15*Datos!$C$15),IF(G115&lt;=Datos!$D$15,(G115*Datos!$C$15)))</f>
        <v>653.6</v>
      </c>
      <c r="M115" s="162">
        <v>25</v>
      </c>
      <c r="N115" s="162">
        <f t="shared" si="101"/>
        <v>1295.6500000000001</v>
      </c>
      <c r="O115" s="191">
        <f t="shared" si="102"/>
        <v>20204.349999999999</v>
      </c>
    </row>
    <row r="116" spans="1:15" ht="36.75" customHeight="1" x14ac:dyDescent="0.2">
      <c r="A116" s="225">
        <v>86</v>
      </c>
      <c r="B116" s="227" t="s">
        <v>178</v>
      </c>
      <c r="C116" s="227" t="s">
        <v>284</v>
      </c>
      <c r="D116" s="227" t="s">
        <v>4</v>
      </c>
      <c r="E116" s="228" t="s">
        <v>280</v>
      </c>
      <c r="F116" s="228" t="s">
        <v>19</v>
      </c>
      <c r="G116" s="162">
        <v>21500</v>
      </c>
      <c r="H116" s="162">
        <v>0</v>
      </c>
      <c r="I116" s="162">
        <f t="shared" ref="I116:I119" si="104">SUM(G116:H116)</f>
        <v>21500</v>
      </c>
      <c r="J116" s="163">
        <f>IF(G116&gt;=Datos!$D$14,(Datos!$D$14*Datos!$C$14),IF(G116&lt;=Datos!$D$14,(G116*Datos!$C$14)))</f>
        <v>617.04999999999995</v>
      </c>
      <c r="K116" s="164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63">
        <f>IF(G116&gt;=Datos!$D$15,(Datos!$D$15*Datos!$C$15),IF(G116&lt;=Datos!$D$15,(G116*Datos!$C$15)))</f>
        <v>653.6</v>
      </c>
      <c r="M116" s="162">
        <v>25</v>
      </c>
      <c r="N116" s="162">
        <f t="shared" si="101"/>
        <v>1295.6500000000001</v>
      </c>
      <c r="O116" s="191">
        <f t="shared" si="102"/>
        <v>20204.349999999999</v>
      </c>
    </row>
    <row r="117" spans="1:15" ht="36.75" customHeight="1" x14ac:dyDescent="0.2">
      <c r="A117" s="225">
        <v>87</v>
      </c>
      <c r="B117" s="227" t="s">
        <v>62</v>
      </c>
      <c r="C117" s="227" t="s">
        <v>286</v>
      </c>
      <c r="D117" s="227" t="s">
        <v>576</v>
      </c>
      <c r="E117" s="228" t="s">
        <v>280</v>
      </c>
      <c r="F117" s="228" t="s">
        <v>19</v>
      </c>
      <c r="G117" s="162">
        <v>26000</v>
      </c>
      <c r="H117" s="162">
        <v>0</v>
      </c>
      <c r="I117" s="162">
        <f t="shared" si="104"/>
        <v>26000</v>
      </c>
      <c r="J117" s="163">
        <f>IF(G117&gt;=Datos!$D$14,(Datos!$D$14*Datos!$C$14),IF(G117&lt;=Datos!$D$14,(G117*Datos!$C$14)))</f>
        <v>746.2</v>
      </c>
      <c r="K117" s="164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63">
        <f>IF(G117&gt;=Datos!$D$15,(Datos!$D$15*Datos!$C$15),IF(G117&lt;=Datos!$D$15,(G117*Datos!$C$15)))</f>
        <v>790.4</v>
      </c>
      <c r="M117" s="162">
        <v>17856.189999999999</v>
      </c>
      <c r="N117" s="162">
        <f t="shared" si="101"/>
        <v>19392.789999999997</v>
      </c>
      <c r="O117" s="191">
        <f t="shared" si="102"/>
        <v>6607.2100000000028</v>
      </c>
    </row>
    <row r="118" spans="1:15" ht="36.75" customHeight="1" x14ac:dyDescent="0.2">
      <c r="A118" s="225">
        <v>88</v>
      </c>
      <c r="B118" s="227" t="s">
        <v>444</v>
      </c>
      <c r="C118" s="227" t="s">
        <v>284</v>
      </c>
      <c r="D118" s="227" t="s">
        <v>4</v>
      </c>
      <c r="E118" s="228" t="s">
        <v>280</v>
      </c>
      <c r="F118" s="228" t="s">
        <v>19</v>
      </c>
      <c r="G118" s="162">
        <v>21500</v>
      </c>
      <c r="H118" s="162">
        <v>0</v>
      </c>
      <c r="I118" s="162">
        <f t="shared" si="104"/>
        <v>21500</v>
      </c>
      <c r="J118" s="163">
        <f>IF(G118&gt;=Datos!$D$14,(Datos!$D$14*Datos!$C$14),IF(G118&lt;=Datos!$D$14,(G118*Datos!$C$14)))</f>
        <v>617.04999999999995</v>
      </c>
      <c r="K118" s="164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63">
        <f>IF(G118&gt;=Datos!$D$15,(Datos!$D$15*Datos!$C$15),IF(G118&lt;=Datos!$D$15,(G118*Datos!$C$15)))</f>
        <v>653.6</v>
      </c>
      <c r="M118" s="162">
        <v>25</v>
      </c>
      <c r="N118" s="162">
        <f t="shared" si="101"/>
        <v>1295.6500000000001</v>
      </c>
      <c r="O118" s="191">
        <f t="shared" si="102"/>
        <v>20204.349999999999</v>
      </c>
    </row>
    <row r="119" spans="1:15" ht="36.75" customHeight="1" x14ac:dyDescent="0.2">
      <c r="A119" s="225">
        <v>89</v>
      </c>
      <c r="B119" s="227" t="s">
        <v>105</v>
      </c>
      <c r="C119" s="227" t="s">
        <v>286</v>
      </c>
      <c r="D119" s="227" t="s">
        <v>4</v>
      </c>
      <c r="E119" s="228" t="s">
        <v>280</v>
      </c>
      <c r="F119" s="228" t="s">
        <v>281</v>
      </c>
      <c r="G119" s="162">
        <v>21500</v>
      </c>
      <c r="H119" s="162">
        <v>0</v>
      </c>
      <c r="I119" s="162">
        <f t="shared" si="104"/>
        <v>21500</v>
      </c>
      <c r="J119" s="163">
        <f>IF(G119&gt;=Datos!$D$14,(Datos!$D$14*Datos!$C$14),IF(G119&lt;=Datos!$D$14,(G119*Datos!$C$14)))</f>
        <v>617.04999999999995</v>
      </c>
      <c r="K119" s="164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63">
        <f>IF(G119&gt;=Datos!$D$15,(Datos!$D$15*Datos!$C$15),IF(G119&lt;=Datos!$D$15,(G119*Datos!$C$15)))</f>
        <v>653.6</v>
      </c>
      <c r="M119" s="162">
        <v>9544.2099999999991</v>
      </c>
      <c r="N119" s="162">
        <f t="shared" si="101"/>
        <v>10814.859999999999</v>
      </c>
      <c r="O119" s="191">
        <f t="shared" si="102"/>
        <v>10685.140000000001</v>
      </c>
    </row>
    <row r="120" spans="1:15" ht="36.75" customHeight="1" x14ac:dyDescent="0.2">
      <c r="A120" s="225">
        <v>90</v>
      </c>
      <c r="B120" s="227" t="s">
        <v>409</v>
      </c>
      <c r="C120" s="227" t="s">
        <v>285</v>
      </c>
      <c r="D120" s="227" t="s">
        <v>4</v>
      </c>
      <c r="E120" s="228" t="s">
        <v>280</v>
      </c>
      <c r="F120" s="228" t="s">
        <v>19</v>
      </c>
      <c r="G120" s="162">
        <v>21500</v>
      </c>
      <c r="H120" s="162">
        <v>0</v>
      </c>
      <c r="I120" s="162">
        <f t="shared" ref="I120" si="105">SUM(G120:H120)</f>
        <v>21500</v>
      </c>
      <c r="J120" s="163">
        <f>IF(G120&gt;=Datos!$D$14,(Datos!$D$14*Datos!$C$14),IF(G120&lt;=Datos!$D$14,(G120*Datos!$C$14)))</f>
        <v>617.04999999999995</v>
      </c>
      <c r="K120" s="164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63">
        <f>IF(G120&gt;=Datos!$D$15,(Datos!$D$15*Datos!$C$15),IF(G120&lt;=Datos!$D$15,(G120*Datos!$C$15)))</f>
        <v>653.6</v>
      </c>
      <c r="M120" s="162">
        <v>25</v>
      </c>
      <c r="N120" s="162">
        <f t="shared" si="101"/>
        <v>1295.6500000000001</v>
      </c>
      <c r="O120" s="191">
        <f t="shared" si="102"/>
        <v>20204.349999999999</v>
      </c>
    </row>
    <row r="121" spans="1:15" ht="36.75" customHeight="1" x14ac:dyDescent="0.2">
      <c r="A121" s="225">
        <v>91</v>
      </c>
      <c r="B121" s="227" t="s">
        <v>189</v>
      </c>
      <c r="C121" s="227" t="s">
        <v>285</v>
      </c>
      <c r="D121" s="227" t="s">
        <v>4</v>
      </c>
      <c r="E121" s="228" t="s">
        <v>280</v>
      </c>
      <c r="F121" s="228" t="s">
        <v>19</v>
      </c>
      <c r="G121" s="162">
        <v>21500</v>
      </c>
      <c r="H121" s="162">
        <v>0</v>
      </c>
      <c r="I121" s="162">
        <f t="shared" ref="I121:I125" si="106">SUM(G121:H121)</f>
        <v>21500</v>
      </c>
      <c r="J121" s="163">
        <f>IF(G121&gt;=Datos!$D$14,(Datos!$D$14*Datos!$C$14),IF(G121&lt;=Datos!$D$14,(G121*Datos!$C$14)))</f>
        <v>617.04999999999995</v>
      </c>
      <c r="K121" s="164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63">
        <f>IF(G121&gt;=Datos!$D$15,(Datos!$D$15*Datos!$C$15),IF(G121&lt;=Datos!$D$15,(G121*Datos!$C$15)))</f>
        <v>653.6</v>
      </c>
      <c r="M121" s="162">
        <v>25</v>
      </c>
      <c r="N121" s="162">
        <f t="shared" si="101"/>
        <v>1295.6500000000001</v>
      </c>
      <c r="O121" s="191">
        <f t="shared" si="102"/>
        <v>20204.349999999999</v>
      </c>
    </row>
    <row r="122" spans="1:15" ht="36.75" customHeight="1" x14ac:dyDescent="0.2">
      <c r="A122" s="225">
        <v>92</v>
      </c>
      <c r="B122" s="227" t="s">
        <v>55</v>
      </c>
      <c r="C122" s="227" t="s">
        <v>332</v>
      </c>
      <c r="D122" s="227" t="s">
        <v>4</v>
      </c>
      <c r="E122" s="228" t="s">
        <v>280</v>
      </c>
      <c r="F122" s="228" t="s">
        <v>19</v>
      </c>
      <c r="G122" s="162">
        <v>21500</v>
      </c>
      <c r="H122" s="162">
        <v>0</v>
      </c>
      <c r="I122" s="162">
        <f t="shared" si="106"/>
        <v>21500</v>
      </c>
      <c r="J122" s="163">
        <f>IF(G122&gt;=Datos!$D$14,(Datos!$D$14*Datos!$C$14),IF(G122&lt;=Datos!$D$14,(G122*Datos!$C$14)))</f>
        <v>617.04999999999995</v>
      </c>
      <c r="K122" s="164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63">
        <f>IF(G122&gt;=Datos!$D$15,(Datos!$D$15*Datos!$C$15),IF(G122&lt;=Datos!$D$15,(G122*Datos!$C$15)))</f>
        <v>653.6</v>
      </c>
      <c r="M122" s="162">
        <v>3770.52</v>
      </c>
      <c r="N122" s="162">
        <f t="shared" si="101"/>
        <v>5041.17</v>
      </c>
      <c r="O122" s="191">
        <f t="shared" si="102"/>
        <v>16458.830000000002</v>
      </c>
    </row>
    <row r="123" spans="1:15" ht="36.75" customHeight="1" x14ac:dyDescent="0.2">
      <c r="A123" s="225">
        <v>93</v>
      </c>
      <c r="B123" s="227" t="s">
        <v>60</v>
      </c>
      <c r="C123" s="227" t="s">
        <v>286</v>
      </c>
      <c r="D123" s="227" t="s">
        <v>4</v>
      </c>
      <c r="E123" s="228" t="s">
        <v>280</v>
      </c>
      <c r="F123" s="228" t="s">
        <v>19</v>
      </c>
      <c r="G123" s="162">
        <v>21500</v>
      </c>
      <c r="H123" s="162">
        <v>0</v>
      </c>
      <c r="I123" s="162">
        <f t="shared" si="106"/>
        <v>21500</v>
      </c>
      <c r="J123" s="163">
        <f>IF(G123&gt;=Datos!$D$14,(Datos!$D$14*Datos!$C$14),IF(G123&lt;=Datos!$D$14,(G123*Datos!$C$14)))</f>
        <v>617.04999999999995</v>
      </c>
      <c r="K123" s="164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63">
        <f>IF(G123&gt;=Datos!$D$15,(Datos!$D$15*Datos!$C$15),IF(G123&lt;=Datos!$D$15,(G123*Datos!$C$15)))</f>
        <v>653.6</v>
      </c>
      <c r="M123" s="162">
        <v>3650.41</v>
      </c>
      <c r="N123" s="162">
        <f t="shared" si="101"/>
        <v>4921.0599999999995</v>
      </c>
      <c r="O123" s="191">
        <f t="shared" si="102"/>
        <v>16578.940000000002</v>
      </c>
    </row>
    <row r="124" spans="1:15" ht="36.75" customHeight="1" x14ac:dyDescent="0.2">
      <c r="A124" s="225">
        <v>94</v>
      </c>
      <c r="B124" s="227" t="s">
        <v>140</v>
      </c>
      <c r="C124" s="227" t="s">
        <v>285</v>
      </c>
      <c r="D124" s="227" t="s">
        <v>4</v>
      </c>
      <c r="E124" s="228" t="s">
        <v>280</v>
      </c>
      <c r="F124" s="228" t="s">
        <v>19</v>
      </c>
      <c r="G124" s="162">
        <v>21500</v>
      </c>
      <c r="H124" s="162">
        <v>0</v>
      </c>
      <c r="I124" s="162">
        <f t="shared" si="106"/>
        <v>21500</v>
      </c>
      <c r="J124" s="163">
        <f>IF(G124&gt;=Datos!$D$14,(Datos!$D$14*Datos!$C$14),IF(G124&lt;=Datos!$D$14,(G124*Datos!$C$14)))</f>
        <v>617.04999999999995</v>
      </c>
      <c r="K124" s="164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63">
        <f>IF(G124&gt;=Datos!$D$15,(Datos!$D$15*Datos!$C$15),IF(G124&lt;=Datos!$D$15,(G124*Datos!$C$15)))</f>
        <v>653.6</v>
      </c>
      <c r="M124" s="162">
        <v>3455.92</v>
      </c>
      <c r="N124" s="162">
        <f t="shared" si="101"/>
        <v>4726.57</v>
      </c>
      <c r="O124" s="191">
        <f t="shared" si="102"/>
        <v>16773.43</v>
      </c>
    </row>
    <row r="125" spans="1:15" ht="36.75" customHeight="1" x14ac:dyDescent="0.2">
      <c r="A125" s="225">
        <v>95</v>
      </c>
      <c r="B125" s="226" t="s">
        <v>156</v>
      </c>
      <c r="C125" s="227" t="s">
        <v>286</v>
      </c>
      <c r="D125" s="226" t="s">
        <v>4</v>
      </c>
      <c r="E125" s="228" t="s">
        <v>280</v>
      </c>
      <c r="F125" s="228" t="s">
        <v>19</v>
      </c>
      <c r="G125" s="138">
        <v>21500</v>
      </c>
      <c r="H125" s="162">
        <v>0</v>
      </c>
      <c r="I125" s="162">
        <f t="shared" si="106"/>
        <v>21500</v>
      </c>
      <c r="J125" s="163">
        <f>IF(G125&gt;=Datos!$D$14,(Datos!$D$14*Datos!$C$14),IF(G125&lt;=Datos!$D$14,(G125*Datos!$C$14)))</f>
        <v>617.04999999999995</v>
      </c>
      <c r="K125" s="164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63">
        <f>IF(G125&gt;=Datos!$D$15,(Datos!$D$15*Datos!$C$15),IF(G125&lt;=Datos!$D$15,(G125*Datos!$C$15)))</f>
        <v>653.6</v>
      </c>
      <c r="M125" s="162">
        <v>2108.1</v>
      </c>
      <c r="N125" s="162">
        <f t="shared" si="101"/>
        <v>3378.75</v>
      </c>
      <c r="O125" s="191">
        <f t="shared" si="102"/>
        <v>18121.25</v>
      </c>
    </row>
    <row r="126" spans="1:15" ht="36.75" customHeight="1" x14ac:dyDescent="0.2">
      <c r="A126" s="225">
        <v>96</v>
      </c>
      <c r="B126" s="227" t="s">
        <v>141</v>
      </c>
      <c r="C126" s="227" t="s">
        <v>284</v>
      </c>
      <c r="D126" s="227" t="s">
        <v>4</v>
      </c>
      <c r="E126" s="228" t="s">
        <v>280</v>
      </c>
      <c r="F126" s="228" t="s">
        <v>19</v>
      </c>
      <c r="G126" s="138">
        <v>21500</v>
      </c>
      <c r="H126" s="162">
        <v>0</v>
      </c>
      <c r="I126" s="162">
        <f t="shared" si="73"/>
        <v>21500</v>
      </c>
      <c r="J126" s="163">
        <f>IF(G126&gt;=Datos!$D$14,(Datos!$D$14*Datos!$C$14),IF(G126&lt;=Datos!$D$14,(G126*Datos!$C$14)))</f>
        <v>617.04999999999995</v>
      </c>
      <c r="K126" s="164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63">
        <f>IF(G126&gt;=Datos!$D$15,(Datos!$D$15*Datos!$C$15),IF(G126&lt;=Datos!$D$15,(G126*Datos!$C$15)))</f>
        <v>653.6</v>
      </c>
      <c r="M126" s="162">
        <v>2025</v>
      </c>
      <c r="N126" s="162">
        <f t="shared" si="86"/>
        <v>3295.65</v>
      </c>
      <c r="O126" s="191">
        <f t="shared" si="87"/>
        <v>18204.349999999999</v>
      </c>
    </row>
    <row r="127" spans="1:15" ht="36.75" customHeight="1" x14ac:dyDescent="0.2">
      <c r="A127" s="225">
        <v>97</v>
      </c>
      <c r="B127" s="227" t="s">
        <v>96</v>
      </c>
      <c r="C127" s="227" t="s">
        <v>286</v>
      </c>
      <c r="D127" s="227" t="s">
        <v>4</v>
      </c>
      <c r="E127" s="228" t="s">
        <v>280</v>
      </c>
      <c r="F127" s="228" t="s">
        <v>19</v>
      </c>
      <c r="G127" s="162">
        <v>21500</v>
      </c>
      <c r="H127" s="162">
        <v>0</v>
      </c>
      <c r="I127" s="162">
        <f t="shared" ref="I127" si="107">SUM(G127:H127)</f>
        <v>21500</v>
      </c>
      <c r="J127" s="163">
        <f>IF(G127&gt;=Datos!$D$14,(Datos!$D$14*Datos!$C$14),IF(G127&lt;=Datos!$D$14,(G127*Datos!$C$14)))</f>
        <v>617.04999999999995</v>
      </c>
      <c r="K127" s="164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63">
        <f>IF(G127&gt;=Datos!$D$15,(Datos!$D$15*Datos!$C$15),IF(G127&lt;=Datos!$D$15,(G127*Datos!$C$15)))</f>
        <v>653.6</v>
      </c>
      <c r="M127" s="162">
        <v>5492.9</v>
      </c>
      <c r="N127" s="162">
        <f t="shared" si="86"/>
        <v>6763.5499999999993</v>
      </c>
      <c r="O127" s="191">
        <f t="shared" si="87"/>
        <v>14736.45</v>
      </c>
    </row>
    <row r="128" spans="1:15" ht="36.75" customHeight="1" x14ac:dyDescent="0.2">
      <c r="A128" s="225">
        <v>98</v>
      </c>
      <c r="B128" s="227" t="s">
        <v>157</v>
      </c>
      <c r="C128" s="227" t="s">
        <v>285</v>
      </c>
      <c r="D128" s="227" t="s">
        <v>4</v>
      </c>
      <c r="E128" s="228" t="s">
        <v>280</v>
      </c>
      <c r="F128" s="228" t="s">
        <v>19</v>
      </c>
      <c r="G128" s="162">
        <v>21500</v>
      </c>
      <c r="H128" s="162">
        <v>0</v>
      </c>
      <c r="I128" s="162">
        <f t="shared" ref="I128" si="108">SUM(G128:H128)</f>
        <v>21500</v>
      </c>
      <c r="J128" s="163">
        <f>IF(G128&gt;=Datos!$D$14,(Datos!$D$14*Datos!$C$14),IF(G128&lt;=Datos!$D$14,(G128*Datos!$C$14)))</f>
        <v>617.04999999999995</v>
      </c>
      <c r="K128" s="164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63">
        <f>IF(G128&gt;=Datos!$D$15,(Datos!$D$15*Datos!$C$15),IF(G128&lt;=Datos!$D$15,(G128*Datos!$C$15)))</f>
        <v>653.6</v>
      </c>
      <c r="M128" s="162">
        <v>25</v>
      </c>
      <c r="N128" s="162">
        <f t="shared" si="86"/>
        <v>1295.6500000000001</v>
      </c>
      <c r="O128" s="191">
        <f t="shared" si="87"/>
        <v>20204.349999999999</v>
      </c>
    </row>
    <row r="129" spans="1:15" ht="36.75" customHeight="1" x14ac:dyDescent="0.2">
      <c r="A129" s="225">
        <v>99</v>
      </c>
      <c r="B129" s="227" t="s">
        <v>756</v>
      </c>
      <c r="C129" s="227" t="s">
        <v>285</v>
      </c>
      <c r="D129" s="227" t="s">
        <v>4</v>
      </c>
      <c r="E129" s="228" t="s">
        <v>280</v>
      </c>
      <c r="F129" s="228" t="s">
        <v>19</v>
      </c>
      <c r="G129" s="162">
        <v>21500</v>
      </c>
      <c r="H129" s="162">
        <v>0</v>
      </c>
      <c r="I129" s="162">
        <f t="shared" ref="I129:I130" si="109">SUM(G129:H129)</f>
        <v>21500</v>
      </c>
      <c r="J129" s="163">
        <f>IF(G129&gt;=Datos!$D$14,(Datos!$D$14*Datos!$C$14),IF(G129&lt;=Datos!$D$14,(G129*Datos!$C$14)))</f>
        <v>617.04999999999995</v>
      </c>
      <c r="K129" s="164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63">
        <f>IF(G129&gt;=Datos!$D$15,(Datos!$D$15*Datos!$C$15),IF(G129&lt;=Datos!$D$15,(G129*Datos!$C$15)))</f>
        <v>653.6</v>
      </c>
      <c r="M129" s="162">
        <v>25</v>
      </c>
      <c r="N129" s="162">
        <f t="shared" si="86"/>
        <v>1295.6500000000001</v>
      </c>
      <c r="O129" s="191">
        <f t="shared" si="87"/>
        <v>20204.349999999999</v>
      </c>
    </row>
    <row r="130" spans="1:15" ht="36.75" customHeight="1" x14ac:dyDescent="0.2">
      <c r="A130" s="225">
        <v>100</v>
      </c>
      <c r="B130" s="227" t="s">
        <v>170</v>
      </c>
      <c r="C130" s="227" t="s">
        <v>284</v>
      </c>
      <c r="D130" s="227" t="s">
        <v>4</v>
      </c>
      <c r="E130" s="228" t="s">
        <v>280</v>
      </c>
      <c r="F130" s="228" t="s">
        <v>19</v>
      </c>
      <c r="G130" s="162">
        <v>21500</v>
      </c>
      <c r="H130" s="162">
        <v>0</v>
      </c>
      <c r="I130" s="162">
        <f t="shared" si="109"/>
        <v>21500</v>
      </c>
      <c r="J130" s="163">
        <f>IF(G130&gt;=Datos!$D$14,(Datos!$D$14*Datos!$C$14),IF(G130&lt;=Datos!$D$14,(G130*Datos!$C$14)))</f>
        <v>617.04999999999995</v>
      </c>
      <c r="K130" s="164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63">
        <f>IF(G130&gt;=Datos!$D$15,(Datos!$D$15*Datos!$C$15),IF(G130&lt;=Datos!$D$15,(G130*Datos!$C$15)))</f>
        <v>653.6</v>
      </c>
      <c r="M130" s="162">
        <v>25</v>
      </c>
      <c r="N130" s="162">
        <f t="shared" si="86"/>
        <v>1295.6500000000001</v>
      </c>
      <c r="O130" s="191">
        <f t="shared" si="87"/>
        <v>20204.349999999999</v>
      </c>
    </row>
    <row r="131" spans="1:15" ht="36.75" customHeight="1" x14ac:dyDescent="0.2">
      <c r="A131" s="225">
        <v>101</v>
      </c>
      <c r="B131" s="227" t="s">
        <v>754</v>
      </c>
      <c r="C131" s="227" t="s">
        <v>332</v>
      </c>
      <c r="D131" s="227" t="s">
        <v>4</v>
      </c>
      <c r="E131" s="228" t="s">
        <v>280</v>
      </c>
      <c r="F131" s="228" t="s">
        <v>19</v>
      </c>
      <c r="G131" s="162">
        <v>21500</v>
      </c>
      <c r="H131" s="162">
        <v>0</v>
      </c>
      <c r="I131" s="162">
        <f t="shared" ref="I131:I132" si="110">SUM(G131:H131)</f>
        <v>21500</v>
      </c>
      <c r="J131" s="163">
        <f>IF(G131&gt;=Datos!$D$14,(Datos!$D$14*Datos!$C$14),IF(G131&lt;=Datos!$D$14,(G131*Datos!$C$14)))</f>
        <v>617.04999999999995</v>
      </c>
      <c r="K131" s="164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63">
        <f>IF(G131&gt;=Datos!$D$15,(Datos!$D$15*Datos!$C$15),IF(G131&lt;=Datos!$D$15,(G131*Datos!$C$15)))</f>
        <v>653.6</v>
      </c>
      <c r="M131" s="162">
        <v>5971.45</v>
      </c>
      <c r="N131" s="162">
        <f t="shared" si="86"/>
        <v>7242.1</v>
      </c>
      <c r="O131" s="191">
        <f t="shared" si="87"/>
        <v>14257.9</v>
      </c>
    </row>
    <row r="132" spans="1:15" ht="36.75" customHeight="1" x14ac:dyDescent="0.2">
      <c r="A132" s="225">
        <v>102</v>
      </c>
      <c r="B132" s="227" t="s">
        <v>155</v>
      </c>
      <c r="C132" s="227" t="s">
        <v>284</v>
      </c>
      <c r="D132" s="227" t="s">
        <v>576</v>
      </c>
      <c r="E132" s="228" t="s">
        <v>280</v>
      </c>
      <c r="F132" s="228" t="s">
        <v>19</v>
      </c>
      <c r="G132" s="162">
        <v>26000</v>
      </c>
      <c r="H132" s="162">
        <v>0</v>
      </c>
      <c r="I132" s="162">
        <f t="shared" si="110"/>
        <v>26000</v>
      </c>
      <c r="J132" s="163">
        <f>IF(G132&gt;=Datos!$D$14,(Datos!$D$14*Datos!$C$14),IF(G132&lt;=Datos!$D$14,(G132*Datos!$C$14)))</f>
        <v>746.2</v>
      </c>
      <c r="K132" s="164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63">
        <f>IF(G132&gt;=Datos!$D$15,(Datos!$D$15*Datos!$C$15),IF(G132&lt;=Datos!$D$15,(G132*Datos!$C$15)))</f>
        <v>790.4</v>
      </c>
      <c r="M132" s="162">
        <v>1538.05</v>
      </c>
      <c r="N132" s="162">
        <f t="shared" si="86"/>
        <v>3074.6499999999996</v>
      </c>
      <c r="O132" s="191">
        <f t="shared" si="87"/>
        <v>22925.35</v>
      </c>
    </row>
    <row r="133" spans="1:15" ht="36.75" customHeight="1" x14ac:dyDescent="0.2">
      <c r="A133" s="225">
        <v>103</v>
      </c>
      <c r="B133" s="227" t="s">
        <v>153</v>
      </c>
      <c r="C133" s="227" t="s">
        <v>284</v>
      </c>
      <c r="D133" s="227" t="s">
        <v>4</v>
      </c>
      <c r="E133" s="228" t="s">
        <v>280</v>
      </c>
      <c r="F133" s="228" t="s">
        <v>19</v>
      </c>
      <c r="G133" s="162">
        <v>21500</v>
      </c>
      <c r="H133" s="162">
        <v>0</v>
      </c>
      <c r="I133" s="162">
        <f t="shared" ref="I133:I138" si="111">SUM(G133:H133)</f>
        <v>21500</v>
      </c>
      <c r="J133" s="163">
        <f>IF(G133&gt;=Datos!$D$14,(Datos!$D$14*Datos!$C$14),IF(G133&lt;=Datos!$D$14,(G133*Datos!$C$14)))</f>
        <v>617.04999999999995</v>
      </c>
      <c r="K133" s="164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63">
        <f>IF(G133&gt;=Datos!$D$15,(Datos!$D$15*Datos!$C$15),IF(G133&lt;=Datos!$D$15,(G133*Datos!$C$15)))</f>
        <v>653.6</v>
      </c>
      <c r="M133" s="162">
        <v>2025</v>
      </c>
      <c r="N133" s="162">
        <f t="shared" ref="N133:N139" si="112">SUM(J133:M133)</f>
        <v>3295.65</v>
      </c>
      <c r="O133" s="191">
        <f t="shared" ref="O133:O139" si="113">+G133-N133</f>
        <v>18204.349999999999</v>
      </c>
    </row>
    <row r="134" spans="1:15" ht="36.75" customHeight="1" x14ac:dyDescent="0.2">
      <c r="A134" s="225">
        <v>104</v>
      </c>
      <c r="B134" s="227" t="s">
        <v>162</v>
      </c>
      <c r="C134" s="227" t="s">
        <v>285</v>
      </c>
      <c r="D134" s="227" t="s">
        <v>4</v>
      </c>
      <c r="E134" s="228" t="s">
        <v>280</v>
      </c>
      <c r="F134" s="228" t="s">
        <v>19</v>
      </c>
      <c r="G134" s="162">
        <v>21500</v>
      </c>
      <c r="H134" s="162">
        <v>0</v>
      </c>
      <c r="I134" s="162">
        <f t="shared" si="111"/>
        <v>21500</v>
      </c>
      <c r="J134" s="163">
        <f>IF(G134&gt;=Datos!$D$14,(Datos!$D$14*Datos!$C$14),IF(G134&lt;=Datos!$D$14,(G134*Datos!$C$14)))</f>
        <v>617.04999999999995</v>
      </c>
      <c r="K134" s="164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63">
        <f>IF(G134&gt;=Datos!$D$15,(Datos!$D$15*Datos!$C$15),IF(G134&lt;=Datos!$D$15,(G134*Datos!$C$15)))</f>
        <v>653.6</v>
      </c>
      <c r="M134" s="162">
        <v>25</v>
      </c>
      <c r="N134" s="162">
        <f t="shared" si="112"/>
        <v>1295.6500000000001</v>
      </c>
      <c r="O134" s="191">
        <f t="shared" si="113"/>
        <v>20204.349999999999</v>
      </c>
    </row>
    <row r="135" spans="1:15" ht="36.75" customHeight="1" x14ac:dyDescent="0.2">
      <c r="A135" s="225">
        <v>105</v>
      </c>
      <c r="B135" s="227" t="s">
        <v>448</v>
      </c>
      <c r="C135" s="227" t="s">
        <v>332</v>
      </c>
      <c r="D135" s="227" t="s">
        <v>4</v>
      </c>
      <c r="E135" s="228" t="s">
        <v>280</v>
      </c>
      <c r="F135" s="228" t="s">
        <v>19</v>
      </c>
      <c r="G135" s="162">
        <v>21500</v>
      </c>
      <c r="H135" s="162">
        <v>0</v>
      </c>
      <c r="I135" s="162">
        <f t="shared" si="111"/>
        <v>21500</v>
      </c>
      <c r="J135" s="163">
        <f>IF(G135&gt;=Datos!$D$14,(Datos!$D$14*Datos!$C$14),IF(G135&lt;=Datos!$D$14,(G135*Datos!$C$14)))</f>
        <v>617.04999999999995</v>
      </c>
      <c r="K135" s="164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63">
        <f>IF(G135&gt;=Datos!$D$15,(Datos!$D$15*Datos!$C$15),IF(G135&lt;=Datos!$D$15,(G135*Datos!$C$15)))</f>
        <v>653.6</v>
      </c>
      <c r="M135" s="162">
        <v>25</v>
      </c>
      <c r="N135" s="162">
        <f t="shared" si="112"/>
        <v>1295.6500000000001</v>
      </c>
      <c r="O135" s="191">
        <f t="shared" si="113"/>
        <v>20204.349999999999</v>
      </c>
    </row>
    <row r="136" spans="1:15" ht="36.75" customHeight="1" x14ac:dyDescent="0.2">
      <c r="A136" s="225">
        <v>106</v>
      </c>
      <c r="B136" s="227" t="s">
        <v>215</v>
      </c>
      <c r="C136" s="227" t="s">
        <v>332</v>
      </c>
      <c r="D136" s="227" t="s">
        <v>249</v>
      </c>
      <c r="E136" s="228" t="s">
        <v>280</v>
      </c>
      <c r="F136" s="228" t="s">
        <v>281</v>
      </c>
      <c r="G136" s="162">
        <v>22500</v>
      </c>
      <c r="H136" s="162">
        <v>0</v>
      </c>
      <c r="I136" s="162">
        <f t="shared" si="111"/>
        <v>22500</v>
      </c>
      <c r="J136" s="163">
        <f>IF(G136&gt;=Datos!$D$14,(Datos!$D$14*Datos!$C$14),IF(G136&lt;=Datos!$D$14,(G136*Datos!$C$14)))</f>
        <v>645.75</v>
      </c>
      <c r="K136" s="164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63">
        <f>IF(G136&gt;=Datos!$D$15,(Datos!$D$15*Datos!$C$15),IF(G136&lt;=Datos!$D$15,(G136*Datos!$C$15)))</f>
        <v>684</v>
      </c>
      <c r="M136" s="162">
        <v>5221.08</v>
      </c>
      <c r="N136" s="162">
        <f t="shared" si="112"/>
        <v>6550.83</v>
      </c>
      <c r="O136" s="191">
        <f t="shared" si="113"/>
        <v>15949.17</v>
      </c>
    </row>
    <row r="137" spans="1:15" ht="36.75" customHeight="1" x14ac:dyDescent="0.2">
      <c r="A137" s="225">
        <v>107</v>
      </c>
      <c r="B137" s="227" t="s">
        <v>221</v>
      </c>
      <c r="C137" s="227" t="s">
        <v>285</v>
      </c>
      <c r="D137" s="227" t="s">
        <v>4</v>
      </c>
      <c r="E137" s="228" t="s">
        <v>280</v>
      </c>
      <c r="F137" s="228" t="s">
        <v>19</v>
      </c>
      <c r="G137" s="162">
        <v>21500</v>
      </c>
      <c r="H137" s="162">
        <v>0</v>
      </c>
      <c r="I137" s="162">
        <f t="shared" si="111"/>
        <v>21500</v>
      </c>
      <c r="J137" s="163">
        <f>IF(G137&gt;=Datos!$D$14,(Datos!$D$14*Datos!$C$14),IF(G137&lt;=Datos!$D$14,(G137*Datos!$C$14)))</f>
        <v>617.04999999999995</v>
      </c>
      <c r="K137" s="164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63">
        <f>IF(G137&gt;=Datos!$D$15,(Datos!$D$15*Datos!$C$15),IF(G137&lt;=Datos!$D$15,(G137*Datos!$C$15)))</f>
        <v>653.6</v>
      </c>
      <c r="M137" s="162">
        <v>25</v>
      </c>
      <c r="N137" s="162">
        <f t="shared" si="112"/>
        <v>1295.6500000000001</v>
      </c>
      <c r="O137" s="191">
        <f t="shared" si="113"/>
        <v>20204.349999999999</v>
      </c>
    </row>
    <row r="138" spans="1:15" ht="36.75" customHeight="1" x14ac:dyDescent="0.2">
      <c r="A138" s="225">
        <v>108</v>
      </c>
      <c r="B138" s="227" t="s">
        <v>30</v>
      </c>
      <c r="C138" s="227" t="s">
        <v>286</v>
      </c>
      <c r="D138" s="227" t="s">
        <v>4</v>
      </c>
      <c r="E138" s="228" t="s">
        <v>280</v>
      </c>
      <c r="F138" s="228" t="s">
        <v>19</v>
      </c>
      <c r="G138" s="162">
        <v>21500</v>
      </c>
      <c r="H138" s="162">
        <v>0</v>
      </c>
      <c r="I138" s="162">
        <f t="shared" si="111"/>
        <v>21500</v>
      </c>
      <c r="J138" s="163">
        <f>IF(G138&gt;=Datos!$D$14,(Datos!$D$14*Datos!$C$14),IF(G138&lt;=Datos!$D$14,(G138*Datos!$C$14)))</f>
        <v>617.04999999999995</v>
      </c>
      <c r="K138" s="164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63">
        <f>IF(G138&gt;=Datos!$D$15,(Datos!$D$15*Datos!$C$15),IF(G138&lt;=Datos!$D$15,(G138*Datos!$C$15)))</f>
        <v>653.6</v>
      </c>
      <c r="M138" s="162">
        <v>6837.17</v>
      </c>
      <c r="N138" s="162">
        <f t="shared" si="112"/>
        <v>8107.82</v>
      </c>
      <c r="O138" s="191">
        <f t="shared" si="113"/>
        <v>13392.18</v>
      </c>
    </row>
    <row r="139" spans="1:15" ht="36.75" customHeight="1" x14ac:dyDescent="0.2">
      <c r="A139" s="225">
        <v>109</v>
      </c>
      <c r="B139" s="227" t="s">
        <v>115</v>
      </c>
      <c r="C139" s="227" t="s">
        <v>284</v>
      </c>
      <c r="D139" s="227" t="s">
        <v>4</v>
      </c>
      <c r="E139" s="228" t="s">
        <v>280</v>
      </c>
      <c r="F139" s="228" t="s">
        <v>19</v>
      </c>
      <c r="G139" s="162">
        <v>13860</v>
      </c>
      <c r="H139" s="162">
        <v>0</v>
      </c>
      <c r="I139" s="162">
        <f t="shared" ref="I139" si="114">SUM(G139:H139)</f>
        <v>13860</v>
      </c>
      <c r="J139" s="163">
        <f>IF(G139&gt;=Datos!$D$14,(Datos!$D$14*Datos!$C$14),IF(G139&lt;=Datos!$D$14,(G139*Datos!$C$14)))</f>
        <v>397.78199999999998</v>
      </c>
      <c r="K139" s="164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63">
        <f>IF(G139&gt;=Datos!$D$15,(Datos!$D$15*Datos!$C$15),IF(G139&lt;=Datos!$D$15,(G139*Datos!$C$15)))</f>
        <v>421.34399999999999</v>
      </c>
      <c r="M139" s="162">
        <v>25</v>
      </c>
      <c r="N139" s="162">
        <f t="shared" si="112"/>
        <v>844.12599999999998</v>
      </c>
      <c r="O139" s="191">
        <f t="shared" si="113"/>
        <v>13015.874</v>
      </c>
    </row>
    <row r="140" spans="1:15" ht="36.75" customHeight="1" x14ac:dyDescent="0.2">
      <c r="A140" s="225">
        <v>110</v>
      </c>
      <c r="B140" s="227" t="s">
        <v>758</v>
      </c>
      <c r="C140" s="227" t="s">
        <v>286</v>
      </c>
      <c r="D140" s="227" t="s">
        <v>4</v>
      </c>
      <c r="E140" s="228" t="s">
        <v>280</v>
      </c>
      <c r="F140" s="228" t="s">
        <v>19</v>
      </c>
      <c r="G140" s="162">
        <v>21500</v>
      </c>
      <c r="H140" s="162">
        <v>0</v>
      </c>
      <c r="I140" s="162">
        <f t="shared" ref="I140" si="115">SUM(G140:H140)</f>
        <v>21500</v>
      </c>
      <c r="J140" s="163">
        <f>IF(G140&gt;=Datos!$D$14,(Datos!$D$14*Datos!$C$14),IF(G140&lt;=Datos!$D$14,(G140*Datos!$C$14)))</f>
        <v>617.04999999999995</v>
      </c>
      <c r="K140" s="164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63">
        <f>IF(G140&gt;=Datos!$D$15,(Datos!$D$15*Datos!$C$15),IF(G140&lt;=Datos!$D$15,(G140*Datos!$C$15)))</f>
        <v>653.6</v>
      </c>
      <c r="M140" s="162">
        <v>2067.37</v>
      </c>
      <c r="N140" s="162">
        <f t="shared" si="86"/>
        <v>3338.02</v>
      </c>
      <c r="O140" s="191">
        <f t="shared" si="87"/>
        <v>18161.98</v>
      </c>
    </row>
    <row r="141" spans="1:15" ht="36.75" customHeight="1" x14ac:dyDescent="0.2">
      <c r="A141" s="225">
        <v>111</v>
      </c>
      <c r="B141" s="227" t="s">
        <v>61</v>
      </c>
      <c r="C141" s="227" t="s">
        <v>285</v>
      </c>
      <c r="D141" s="227" t="s">
        <v>4</v>
      </c>
      <c r="E141" s="228" t="s">
        <v>280</v>
      </c>
      <c r="F141" s="228" t="s">
        <v>19</v>
      </c>
      <c r="G141" s="162">
        <v>21500</v>
      </c>
      <c r="H141" s="162">
        <v>0</v>
      </c>
      <c r="I141" s="162">
        <f t="shared" ref="I141:I143" si="116">SUM(G141:H141)</f>
        <v>21500</v>
      </c>
      <c r="J141" s="163">
        <f>IF(G141&gt;=Datos!$D$14,(Datos!$D$14*Datos!$C$14),IF(G141&lt;=Datos!$D$14,(G141*Datos!$C$14)))</f>
        <v>617.04999999999995</v>
      </c>
      <c r="K141" s="164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63">
        <f>IF(G141&gt;=Datos!$D$15,(Datos!$D$15*Datos!$C$15),IF(G141&lt;=Datos!$D$15,(G141*Datos!$C$15)))</f>
        <v>653.6</v>
      </c>
      <c r="M141" s="162">
        <v>25</v>
      </c>
      <c r="N141" s="162">
        <f t="shared" si="86"/>
        <v>1295.6500000000001</v>
      </c>
      <c r="O141" s="191">
        <f t="shared" si="87"/>
        <v>20204.349999999999</v>
      </c>
    </row>
    <row r="142" spans="1:15" ht="36.75" customHeight="1" x14ac:dyDescent="0.2">
      <c r="A142" s="225">
        <v>112</v>
      </c>
      <c r="B142" s="227" t="s">
        <v>354</v>
      </c>
      <c r="C142" s="227" t="s">
        <v>332</v>
      </c>
      <c r="D142" s="227" t="s">
        <v>576</v>
      </c>
      <c r="E142" s="228" t="s">
        <v>280</v>
      </c>
      <c r="F142" s="228" t="s">
        <v>19</v>
      </c>
      <c r="G142" s="162">
        <v>26000</v>
      </c>
      <c r="H142" s="162">
        <v>0</v>
      </c>
      <c r="I142" s="162">
        <f t="shared" si="116"/>
        <v>26000</v>
      </c>
      <c r="J142" s="163">
        <f>IF(G142&gt;=Datos!$D$14,(Datos!$D$14*Datos!$C$14),IF(G142&lt;=Datos!$D$14,(G142*Datos!$C$14)))</f>
        <v>746.2</v>
      </c>
      <c r="K142" s="164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63">
        <f>IF(G142&gt;=Datos!$D$15,(Datos!$D$15*Datos!$C$15),IF(G142&lt;=Datos!$D$15,(G142*Datos!$C$15)))</f>
        <v>790.4</v>
      </c>
      <c r="M142" s="162">
        <v>2025</v>
      </c>
      <c r="N142" s="162">
        <f t="shared" si="86"/>
        <v>3561.6</v>
      </c>
      <c r="O142" s="191">
        <f t="shared" si="87"/>
        <v>22438.400000000001</v>
      </c>
    </row>
    <row r="143" spans="1:15" ht="36.75" customHeight="1" x14ac:dyDescent="0.2">
      <c r="A143" s="225">
        <v>113</v>
      </c>
      <c r="B143" s="227" t="s">
        <v>81</v>
      </c>
      <c r="C143" s="227" t="s">
        <v>285</v>
      </c>
      <c r="D143" s="227" t="s">
        <v>4</v>
      </c>
      <c r="E143" s="228" t="s">
        <v>280</v>
      </c>
      <c r="F143" s="228" t="s">
        <v>19</v>
      </c>
      <c r="G143" s="162">
        <v>21500</v>
      </c>
      <c r="H143" s="162">
        <v>0</v>
      </c>
      <c r="I143" s="162">
        <f t="shared" si="116"/>
        <v>21500</v>
      </c>
      <c r="J143" s="163">
        <f>IF(G143&gt;=Datos!$D$14,(Datos!$D$14*Datos!$C$14),IF(G143&lt;=Datos!$D$14,(G143*Datos!$C$14)))</f>
        <v>617.04999999999995</v>
      </c>
      <c r="K143" s="164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63">
        <f>IF(G143&gt;=Datos!$D$15,(Datos!$D$15*Datos!$C$15),IF(G143&lt;=Datos!$D$15,(G143*Datos!$C$15)))</f>
        <v>653.6</v>
      </c>
      <c r="M143" s="162">
        <v>25</v>
      </c>
      <c r="N143" s="162">
        <f t="shared" si="86"/>
        <v>1295.6500000000001</v>
      </c>
      <c r="O143" s="191">
        <f t="shared" si="87"/>
        <v>20204.349999999999</v>
      </c>
    </row>
    <row r="144" spans="1:15" ht="36.75" customHeight="1" x14ac:dyDescent="0.2">
      <c r="A144" s="225">
        <v>114</v>
      </c>
      <c r="B144" s="227" t="s">
        <v>77</v>
      </c>
      <c r="C144" s="227" t="s">
        <v>285</v>
      </c>
      <c r="D144" s="99" t="s">
        <v>4</v>
      </c>
      <c r="E144" s="228" t="s">
        <v>280</v>
      </c>
      <c r="F144" s="228" t="s">
        <v>19</v>
      </c>
      <c r="G144" s="162">
        <v>21500</v>
      </c>
      <c r="H144" s="162">
        <v>0</v>
      </c>
      <c r="I144" s="162">
        <f t="shared" si="73"/>
        <v>21500</v>
      </c>
      <c r="J144" s="163">
        <f>IF(G144&gt;=Datos!$D$14,(Datos!$D$14*Datos!$C$14),IF(G144&lt;=Datos!$D$14,(G144*Datos!$C$14)))</f>
        <v>617.04999999999995</v>
      </c>
      <c r="K144" s="164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63">
        <f>IF(G144&gt;=Datos!$D$15,(Datos!$D$15*Datos!$C$15),IF(G144&lt;=Datos!$D$15,(G144*Datos!$C$15)))</f>
        <v>653.6</v>
      </c>
      <c r="M144" s="162">
        <v>25</v>
      </c>
      <c r="N144" s="162">
        <f t="shared" ref="N144:N146" si="117">SUM(J144:M144)</f>
        <v>1295.6500000000001</v>
      </c>
      <c r="O144" s="191">
        <f t="shared" ref="O144:O146" si="118">+G144-N144</f>
        <v>20204.349999999999</v>
      </c>
    </row>
    <row r="145" spans="1:15" ht="36.75" customHeight="1" x14ac:dyDescent="0.2">
      <c r="A145" s="225">
        <v>115</v>
      </c>
      <c r="B145" s="227" t="s">
        <v>219</v>
      </c>
      <c r="C145" s="227" t="s">
        <v>286</v>
      </c>
      <c r="D145" s="227" t="s">
        <v>761</v>
      </c>
      <c r="E145" s="228" t="s">
        <v>280</v>
      </c>
      <c r="F145" s="228" t="s">
        <v>281</v>
      </c>
      <c r="G145" s="162">
        <v>13860</v>
      </c>
      <c r="H145" s="162">
        <v>0</v>
      </c>
      <c r="I145" s="162">
        <f t="shared" si="73"/>
        <v>13860</v>
      </c>
      <c r="J145" s="163">
        <f>IF(G145&gt;=Datos!$D$14,(Datos!$D$14*Datos!$C$14),IF(G145&lt;=Datos!$D$14,(G145*Datos!$C$14)))</f>
        <v>397.78199999999998</v>
      </c>
      <c r="K145" s="164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63">
        <f>IF(G145&gt;=Datos!$D$15,(Datos!$D$15*Datos!$C$15),IF(G145&lt;=Datos!$D$15,(G145*Datos!$C$15)))</f>
        <v>421.34399999999999</v>
      </c>
      <c r="M145" s="162">
        <v>25</v>
      </c>
      <c r="N145" s="162">
        <f t="shared" si="117"/>
        <v>844.12599999999998</v>
      </c>
      <c r="O145" s="191">
        <f t="shared" si="118"/>
        <v>13015.874</v>
      </c>
    </row>
    <row r="146" spans="1:15" ht="36.75" customHeight="1" x14ac:dyDescent="0.2">
      <c r="A146" s="225">
        <v>116</v>
      </c>
      <c r="B146" s="227" t="s">
        <v>43</v>
      </c>
      <c r="C146" s="227" t="s">
        <v>284</v>
      </c>
      <c r="D146" s="227" t="s">
        <v>4</v>
      </c>
      <c r="E146" s="228" t="s">
        <v>280</v>
      </c>
      <c r="F146" s="228" t="s">
        <v>19</v>
      </c>
      <c r="G146" s="162">
        <v>21500</v>
      </c>
      <c r="H146" s="162">
        <v>0</v>
      </c>
      <c r="I146" s="162">
        <f t="shared" ref="I146" si="119">SUM(G146:H146)</f>
        <v>21500</v>
      </c>
      <c r="J146" s="163">
        <f>IF(G146&gt;=Datos!$D$14,(Datos!$D$14*Datos!$C$14),IF(G146&lt;=Datos!$D$14,(G146*Datos!$C$14)))</f>
        <v>617.04999999999995</v>
      </c>
      <c r="K146" s="164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63">
        <f>IF(G146&gt;=Datos!$D$15,(Datos!$D$15*Datos!$C$15),IF(G146&lt;=Datos!$D$15,(G146*Datos!$C$15)))</f>
        <v>653.6</v>
      </c>
      <c r="M146" s="162">
        <v>25</v>
      </c>
      <c r="N146" s="162">
        <f t="shared" si="117"/>
        <v>1295.6500000000001</v>
      </c>
      <c r="O146" s="191">
        <f t="shared" si="118"/>
        <v>20204.349999999999</v>
      </c>
    </row>
    <row r="147" spans="1:15" ht="36.75" customHeight="1" x14ac:dyDescent="0.2">
      <c r="A147" s="225">
        <v>117</v>
      </c>
      <c r="B147" s="227" t="s">
        <v>755</v>
      </c>
      <c r="C147" s="227" t="s">
        <v>332</v>
      </c>
      <c r="D147" s="227" t="s">
        <v>4</v>
      </c>
      <c r="E147" s="228" t="s">
        <v>280</v>
      </c>
      <c r="F147" s="228" t="s">
        <v>19</v>
      </c>
      <c r="G147" s="162">
        <v>21500</v>
      </c>
      <c r="H147" s="162">
        <v>0</v>
      </c>
      <c r="I147" s="162">
        <f t="shared" ref="I147" si="120">SUM(G147:H147)</f>
        <v>21500</v>
      </c>
      <c r="J147" s="163">
        <f>IF(G147&gt;=Datos!$D$14,(Datos!$D$14*Datos!$C$14),IF(G147&lt;=Datos!$D$14,(G147*Datos!$C$14)))</f>
        <v>617.04999999999995</v>
      </c>
      <c r="K147" s="164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63">
        <f>IF(G147&gt;=Datos!$D$15,(Datos!$D$15*Datos!$C$15),IF(G147&lt;=Datos!$D$15,(G147*Datos!$C$15)))</f>
        <v>653.6</v>
      </c>
      <c r="M147" s="162">
        <v>3025</v>
      </c>
      <c r="N147" s="162">
        <f t="shared" ref="N147:N154" si="121">SUM(J147:M147)</f>
        <v>4295.6499999999996</v>
      </c>
      <c r="O147" s="191">
        <f t="shared" ref="O147:O154" si="122">+G147-N147</f>
        <v>17204.349999999999</v>
      </c>
    </row>
    <row r="148" spans="1:15" ht="36.75" customHeight="1" x14ac:dyDescent="0.2">
      <c r="A148" s="225">
        <v>118</v>
      </c>
      <c r="B148" s="227" t="s">
        <v>127</v>
      </c>
      <c r="C148" s="227" t="s">
        <v>284</v>
      </c>
      <c r="D148" s="227" t="s">
        <v>576</v>
      </c>
      <c r="E148" s="228" t="s">
        <v>280</v>
      </c>
      <c r="F148" s="228" t="s">
        <v>19</v>
      </c>
      <c r="G148" s="162">
        <v>26000</v>
      </c>
      <c r="H148" s="162">
        <v>0</v>
      </c>
      <c r="I148" s="162">
        <f t="shared" ref="I148" si="123">SUM(G148:H148)</f>
        <v>26000</v>
      </c>
      <c r="J148" s="163">
        <f>IF(G148&gt;=Datos!$D$14,(Datos!$D$14*Datos!$C$14),IF(G148&lt;=Datos!$D$14,(G148*Datos!$C$14)))</f>
        <v>746.2</v>
      </c>
      <c r="K148" s="164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63">
        <f>IF(G148&gt;=Datos!$D$15,(Datos!$D$15*Datos!$C$15),IF(G148&lt;=Datos!$D$15,(G148*Datos!$C$15)))</f>
        <v>790.4</v>
      </c>
      <c r="M148" s="162">
        <v>25</v>
      </c>
      <c r="N148" s="162">
        <f t="shared" si="121"/>
        <v>1561.6</v>
      </c>
      <c r="O148" s="191">
        <f t="shared" si="122"/>
        <v>24438.400000000001</v>
      </c>
    </row>
    <row r="149" spans="1:15" ht="36.75" customHeight="1" x14ac:dyDescent="0.2">
      <c r="A149" s="225">
        <v>119</v>
      </c>
      <c r="B149" s="247" t="s">
        <v>518</v>
      </c>
      <c r="C149" s="227" t="s">
        <v>332</v>
      </c>
      <c r="D149" s="137" t="s">
        <v>4</v>
      </c>
      <c r="E149" s="228" t="s">
        <v>280</v>
      </c>
      <c r="F149" s="228" t="s">
        <v>19</v>
      </c>
      <c r="G149" s="162">
        <v>21500</v>
      </c>
      <c r="H149" s="162">
        <v>0</v>
      </c>
      <c r="I149" s="162">
        <f t="shared" ref="I149" si="124">SUM(G149:H149)</f>
        <v>21500</v>
      </c>
      <c r="J149" s="163">
        <f>IF(G149&gt;=Datos!$D$14,(Datos!$D$14*Datos!$C$14),IF(G149&lt;=Datos!$D$14,(G149*Datos!$C$14)))</f>
        <v>617.04999999999995</v>
      </c>
      <c r="K149" s="164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63">
        <f>IF(G149&gt;=Datos!$D$15,(Datos!$D$15*Datos!$C$15),IF(G149&lt;=Datos!$D$15,(G149*Datos!$C$15)))</f>
        <v>653.6</v>
      </c>
      <c r="M149" s="162">
        <v>3590.49</v>
      </c>
      <c r="N149" s="162">
        <f t="shared" si="121"/>
        <v>4861.1399999999994</v>
      </c>
      <c r="O149" s="191">
        <f t="shared" si="122"/>
        <v>16638.86</v>
      </c>
    </row>
    <row r="150" spans="1:15" ht="36.75" customHeight="1" x14ac:dyDescent="0.2">
      <c r="A150" s="225">
        <v>120</v>
      </c>
      <c r="B150" s="227" t="s">
        <v>65</v>
      </c>
      <c r="C150" s="227" t="s">
        <v>285</v>
      </c>
      <c r="D150" s="227" t="s">
        <v>4</v>
      </c>
      <c r="E150" s="228" t="s">
        <v>280</v>
      </c>
      <c r="F150" s="228" t="s">
        <v>19</v>
      </c>
      <c r="G150" s="162">
        <v>21500</v>
      </c>
      <c r="H150" s="162">
        <v>0</v>
      </c>
      <c r="I150" s="162">
        <f t="shared" ref="I150:I154" si="125">SUM(G150:H150)</f>
        <v>21500</v>
      </c>
      <c r="J150" s="163">
        <f>IF(G150&gt;=Datos!$D$14,(Datos!$D$14*Datos!$C$14),IF(G150&lt;=Datos!$D$14,(G150*Datos!$C$14)))</f>
        <v>617.04999999999995</v>
      </c>
      <c r="K150" s="164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63">
        <f>IF(G150&gt;=Datos!$D$15,(Datos!$D$15*Datos!$C$15),IF(G150&lt;=Datos!$D$15,(G150*Datos!$C$15)))</f>
        <v>653.6</v>
      </c>
      <c r="M150" s="162">
        <v>25</v>
      </c>
      <c r="N150" s="162">
        <f t="shared" si="121"/>
        <v>1295.6500000000001</v>
      </c>
      <c r="O150" s="191">
        <f t="shared" si="122"/>
        <v>20204.349999999999</v>
      </c>
    </row>
    <row r="151" spans="1:15" ht="36.75" customHeight="1" x14ac:dyDescent="0.2">
      <c r="A151" s="225">
        <v>121</v>
      </c>
      <c r="B151" s="227" t="s">
        <v>94</v>
      </c>
      <c r="C151" s="227" t="s">
        <v>285</v>
      </c>
      <c r="D151" s="227" t="s">
        <v>249</v>
      </c>
      <c r="E151" s="228" t="s">
        <v>280</v>
      </c>
      <c r="F151" s="228" t="s">
        <v>281</v>
      </c>
      <c r="G151" s="162">
        <v>18000</v>
      </c>
      <c r="H151" s="162">
        <v>0</v>
      </c>
      <c r="I151" s="162">
        <f t="shared" ref="I151" si="126">SUM(G151:H151)</f>
        <v>18000</v>
      </c>
      <c r="J151" s="163">
        <f>IF(G151&gt;=Datos!$D$14,(Datos!$D$14*Datos!$C$14),IF(G151&lt;=Datos!$D$14,(G151*Datos!$C$14)))</f>
        <v>516.6</v>
      </c>
      <c r="K151" s="164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63">
        <f>IF(G151&gt;=Datos!$D$15,(Datos!$D$15*Datos!$C$15),IF(G151&lt;=Datos!$D$15,(G151*Datos!$C$15)))</f>
        <v>547.20000000000005</v>
      </c>
      <c r="M151" s="162">
        <v>25</v>
      </c>
      <c r="N151" s="162">
        <f t="shared" ref="N151" si="127">SUM(J151:M151)</f>
        <v>1088.8000000000002</v>
      </c>
      <c r="O151" s="191">
        <f t="shared" ref="O151" si="128">+G151-N151</f>
        <v>16911.2</v>
      </c>
    </row>
    <row r="152" spans="1:15" ht="36.75" customHeight="1" x14ac:dyDescent="0.2">
      <c r="A152" s="225">
        <v>122</v>
      </c>
      <c r="B152" s="227" t="s">
        <v>196</v>
      </c>
      <c r="C152" s="227" t="s">
        <v>284</v>
      </c>
      <c r="D152" s="227" t="s">
        <v>4</v>
      </c>
      <c r="E152" s="228" t="s">
        <v>280</v>
      </c>
      <c r="F152" s="228" t="s">
        <v>19</v>
      </c>
      <c r="G152" s="162">
        <v>21500</v>
      </c>
      <c r="H152" s="162">
        <v>0</v>
      </c>
      <c r="I152" s="162">
        <f t="shared" si="125"/>
        <v>21500</v>
      </c>
      <c r="J152" s="163">
        <f>IF(G152&gt;=Datos!$D$14,(Datos!$D$14*Datos!$C$14),IF(G152&lt;=Datos!$D$14,(G152*Datos!$C$14)))</f>
        <v>617.04999999999995</v>
      </c>
      <c r="K152" s="164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63">
        <f>IF(G152&gt;=Datos!$D$15,(Datos!$D$15*Datos!$C$15),IF(G152&lt;=Datos!$D$15,(G152*Datos!$C$15)))</f>
        <v>653.6</v>
      </c>
      <c r="M152" s="162">
        <v>25</v>
      </c>
      <c r="N152" s="162">
        <f t="shared" si="121"/>
        <v>1295.6500000000001</v>
      </c>
      <c r="O152" s="191">
        <f t="shared" si="122"/>
        <v>20204.349999999999</v>
      </c>
    </row>
    <row r="153" spans="1:15" ht="36.75" customHeight="1" x14ac:dyDescent="0.2">
      <c r="A153" s="225">
        <v>123</v>
      </c>
      <c r="B153" s="227" t="s">
        <v>186</v>
      </c>
      <c r="C153" s="227" t="s">
        <v>286</v>
      </c>
      <c r="D153" s="227" t="s">
        <v>249</v>
      </c>
      <c r="E153" s="228" t="s">
        <v>280</v>
      </c>
      <c r="F153" s="228" t="s">
        <v>281</v>
      </c>
      <c r="G153" s="162">
        <v>18000</v>
      </c>
      <c r="H153" s="162">
        <v>0</v>
      </c>
      <c r="I153" s="162">
        <f t="shared" si="125"/>
        <v>18000</v>
      </c>
      <c r="J153" s="163">
        <f>IF(G153&gt;=Datos!$D$14,(Datos!$D$14*Datos!$C$14),IF(G153&lt;=Datos!$D$14,(G153*Datos!$C$14)))</f>
        <v>516.6</v>
      </c>
      <c r="K153" s="164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163">
        <f>IF(G153&gt;=Datos!$D$15,(Datos!$D$15*Datos!$C$15),IF(G153&lt;=Datos!$D$15,(G153*Datos!$C$15)))</f>
        <v>547.20000000000005</v>
      </c>
      <c r="M153" s="162">
        <v>11822.42</v>
      </c>
      <c r="N153" s="162">
        <f t="shared" si="121"/>
        <v>12886.220000000001</v>
      </c>
      <c r="O153" s="191">
        <f t="shared" si="122"/>
        <v>5113.7799999999988</v>
      </c>
    </row>
    <row r="154" spans="1:15" ht="36.75" customHeight="1" x14ac:dyDescent="0.2">
      <c r="A154" s="225">
        <v>124</v>
      </c>
      <c r="B154" s="227" t="s">
        <v>438</v>
      </c>
      <c r="C154" s="227" t="s">
        <v>285</v>
      </c>
      <c r="D154" s="227" t="s">
        <v>4</v>
      </c>
      <c r="E154" s="228" t="s">
        <v>280</v>
      </c>
      <c r="F154" s="228" t="s">
        <v>19</v>
      </c>
      <c r="G154" s="162">
        <v>21500</v>
      </c>
      <c r="H154" s="162">
        <v>0</v>
      </c>
      <c r="I154" s="162">
        <f t="shared" si="125"/>
        <v>21500</v>
      </c>
      <c r="J154" s="163">
        <f>IF(G154&gt;=Datos!$D$14,(Datos!$D$14*Datos!$C$14),IF(G154&lt;=Datos!$D$14,(G154*Datos!$C$14)))</f>
        <v>617.04999999999995</v>
      </c>
      <c r="K154" s="164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63">
        <f>IF(G154&gt;=Datos!$D$15,(Datos!$D$15*Datos!$C$15),IF(G154&lt;=Datos!$D$15,(G154*Datos!$C$15)))</f>
        <v>653.6</v>
      </c>
      <c r="M154" s="162">
        <v>25</v>
      </c>
      <c r="N154" s="162">
        <f t="shared" si="121"/>
        <v>1295.6500000000001</v>
      </c>
      <c r="O154" s="191">
        <f t="shared" si="122"/>
        <v>20204.349999999999</v>
      </c>
    </row>
    <row r="155" spans="1:15" ht="36.75" customHeight="1" x14ac:dyDescent="0.2">
      <c r="A155" s="225">
        <v>125</v>
      </c>
      <c r="B155" s="227" t="s">
        <v>341</v>
      </c>
      <c r="C155" s="227" t="s">
        <v>332</v>
      </c>
      <c r="D155" s="227" t="s">
        <v>576</v>
      </c>
      <c r="E155" s="228" t="s">
        <v>280</v>
      </c>
      <c r="F155" s="228" t="s">
        <v>19</v>
      </c>
      <c r="G155" s="162">
        <v>26000</v>
      </c>
      <c r="H155" s="162">
        <v>0</v>
      </c>
      <c r="I155" s="162">
        <f t="shared" ref="I155" si="129">SUM(G155:H155)</f>
        <v>26000</v>
      </c>
      <c r="J155" s="163">
        <f>IF(G155&gt;=Datos!$D$14,(Datos!$D$14*Datos!$C$14),IF(G155&lt;=Datos!$D$14,(G155*Datos!$C$14)))</f>
        <v>746.2</v>
      </c>
      <c r="K155" s="164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163">
        <f>IF(G155&gt;=Datos!$D$15,(Datos!$D$15*Datos!$C$15),IF(G155&lt;=Datos!$D$15,(G155*Datos!$C$15)))</f>
        <v>790.4</v>
      </c>
      <c r="M155" s="162">
        <v>25</v>
      </c>
      <c r="N155" s="162">
        <f t="shared" ref="N155" si="130">SUM(J155:M155)</f>
        <v>1561.6</v>
      </c>
      <c r="O155" s="191">
        <f t="shared" ref="O155" si="131">+G155-N155</f>
        <v>24438.400000000001</v>
      </c>
    </row>
    <row r="156" spans="1:15" s="234" customFormat="1" ht="36.75" customHeight="1" x14ac:dyDescent="0.2">
      <c r="A156" s="277" t="s">
        <v>455</v>
      </c>
      <c r="B156" s="278"/>
      <c r="C156" s="232">
        <v>84</v>
      </c>
      <c r="D156" s="232"/>
      <c r="E156" s="233"/>
      <c r="F156" s="166"/>
      <c r="G156" s="167">
        <f t="shared" ref="G156:O156" si="132">SUM(G72:G155)</f>
        <v>1745720</v>
      </c>
      <c r="H156" s="167">
        <f t="shared" si="132"/>
        <v>0</v>
      </c>
      <c r="I156" s="167">
        <f t="shared" si="132"/>
        <v>1745720</v>
      </c>
      <c r="J156" s="167">
        <f t="shared" si="132"/>
        <v>50102.164000000026</v>
      </c>
      <c r="K156" s="167">
        <f t="shared" si="132"/>
        <v>0</v>
      </c>
      <c r="L156" s="167">
        <f t="shared" si="132"/>
        <v>53069.887999999941</v>
      </c>
      <c r="M156" s="167">
        <f t="shared" si="132"/>
        <v>126959.31999999999</v>
      </c>
      <c r="N156" s="167">
        <f t="shared" si="132"/>
        <v>230131.37199999983</v>
      </c>
      <c r="O156" s="167">
        <f t="shared" si="132"/>
        <v>1515588.6280000005</v>
      </c>
    </row>
    <row r="157" spans="1:15" ht="36.75" customHeight="1" x14ac:dyDescent="0.2">
      <c r="A157" s="277" t="s">
        <v>918</v>
      </c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46"/>
    </row>
    <row r="158" spans="1:15" ht="36.75" customHeight="1" x14ac:dyDescent="0.2">
      <c r="A158" s="225">
        <v>126</v>
      </c>
      <c r="B158" s="227" t="s">
        <v>919</v>
      </c>
      <c r="C158" s="227" t="s">
        <v>286</v>
      </c>
      <c r="D158" s="227" t="s">
        <v>244</v>
      </c>
      <c r="E158" s="228" t="s">
        <v>280</v>
      </c>
      <c r="F158" s="228" t="s">
        <v>281</v>
      </c>
      <c r="G158" s="162">
        <v>25000</v>
      </c>
      <c r="H158" s="162">
        <v>0</v>
      </c>
      <c r="I158" s="162">
        <f t="shared" ref="I158:I165" si="133">SUM(G158:H158)</f>
        <v>25000</v>
      </c>
      <c r="J158" s="163">
        <f>IF(G158&gt;=Datos!$D$14,(Datos!$D$14*Datos!$C$14),IF(G158&lt;=Datos!$D$14,(G158*Datos!$C$14)))</f>
        <v>717.5</v>
      </c>
      <c r="K158" s="164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63">
        <f>IF(G158&gt;=Datos!$D$15,(Datos!$D$15*Datos!$C$15),IF(G158&lt;=Datos!$D$15,(G158*Datos!$C$15)))</f>
        <v>760</v>
      </c>
      <c r="M158" s="162">
        <v>9111.18</v>
      </c>
      <c r="N158" s="162">
        <f t="shared" ref="N158:N165" si="134">SUM(J158:M158)</f>
        <v>10588.68</v>
      </c>
      <c r="O158" s="191">
        <f t="shared" ref="O158:O165" si="135">+G158-N158</f>
        <v>14411.32</v>
      </c>
    </row>
    <row r="159" spans="1:15" ht="36.75" customHeight="1" x14ac:dyDescent="0.2">
      <c r="A159" s="225">
        <v>127</v>
      </c>
      <c r="B159" s="227" t="s">
        <v>125</v>
      </c>
      <c r="C159" s="227" t="s">
        <v>286</v>
      </c>
      <c r="D159" s="227" t="s">
        <v>244</v>
      </c>
      <c r="E159" s="228" t="s">
        <v>280</v>
      </c>
      <c r="F159" s="228" t="s">
        <v>281</v>
      </c>
      <c r="G159" s="162">
        <v>25000</v>
      </c>
      <c r="H159" s="162">
        <v>0</v>
      </c>
      <c r="I159" s="162">
        <f t="shared" si="133"/>
        <v>25000</v>
      </c>
      <c r="J159" s="163">
        <f>IF(G159&gt;=Datos!$D$14,(Datos!$D$14*Datos!$C$14),IF(G159&lt;=Datos!$D$14,(G159*Datos!$C$14)))</f>
        <v>717.5</v>
      </c>
      <c r="K159" s="164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163">
        <f>IF(G159&gt;=Datos!$D$15,(Datos!$D$15*Datos!$C$15),IF(G159&lt;=Datos!$D$15,(G159*Datos!$C$15)))</f>
        <v>760</v>
      </c>
      <c r="M159" s="162">
        <v>3150.41</v>
      </c>
      <c r="N159" s="162">
        <f t="shared" si="134"/>
        <v>4627.91</v>
      </c>
      <c r="O159" s="191">
        <f t="shared" si="135"/>
        <v>20372.09</v>
      </c>
    </row>
    <row r="160" spans="1:15" ht="36.75" customHeight="1" x14ac:dyDescent="0.2">
      <c r="A160" s="225">
        <v>128</v>
      </c>
      <c r="B160" s="227" t="s">
        <v>181</v>
      </c>
      <c r="C160" s="227" t="s">
        <v>285</v>
      </c>
      <c r="D160" s="227" t="s">
        <v>244</v>
      </c>
      <c r="E160" s="228" t="s">
        <v>280</v>
      </c>
      <c r="F160" s="228" t="s">
        <v>281</v>
      </c>
      <c r="G160" s="162">
        <v>25000</v>
      </c>
      <c r="H160" s="162">
        <v>0</v>
      </c>
      <c r="I160" s="162">
        <f t="shared" si="133"/>
        <v>25000</v>
      </c>
      <c r="J160" s="163">
        <f>IF(G160&gt;=Datos!$D$14,(Datos!$D$14*Datos!$C$14),IF(G160&lt;=Datos!$D$14,(G160*Datos!$C$14)))</f>
        <v>717.5</v>
      </c>
      <c r="K160" s="164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63">
        <f>IF(G160&gt;=Datos!$D$15,(Datos!$D$15*Datos!$C$15),IF(G160&lt;=Datos!$D$15,(G160*Datos!$C$15)))</f>
        <v>760</v>
      </c>
      <c r="M160" s="162">
        <v>25</v>
      </c>
      <c r="N160" s="162">
        <f t="shared" si="134"/>
        <v>1502.5</v>
      </c>
      <c r="O160" s="191">
        <f t="shared" si="135"/>
        <v>23497.5</v>
      </c>
    </row>
    <row r="161" spans="1:15" ht="36.75" customHeight="1" x14ac:dyDescent="0.2">
      <c r="A161" s="225">
        <v>129</v>
      </c>
      <c r="B161" s="227" t="s">
        <v>443</v>
      </c>
      <c r="C161" s="227" t="s">
        <v>332</v>
      </c>
      <c r="D161" s="227" t="s">
        <v>244</v>
      </c>
      <c r="E161" s="228" t="s">
        <v>280</v>
      </c>
      <c r="F161" s="228" t="s">
        <v>281</v>
      </c>
      <c r="G161" s="162">
        <v>25000</v>
      </c>
      <c r="H161" s="162">
        <v>0</v>
      </c>
      <c r="I161" s="162">
        <f t="shared" ref="I161:I162" si="136">SUM(G161:H161)</f>
        <v>25000</v>
      </c>
      <c r="J161" s="163">
        <f>IF(G161&gt;=Datos!$D$14,(Datos!$D$14*Datos!$C$14),IF(G161&lt;=Datos!$D$14,(G161*Datos!$C$14)))</f>
        <v>717.5</v>
      </c>
      <c r="K161" s="164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63">
        <f>IF(G161&gt;=Datos!$D$15,(Datos!$D$15*Datos!$C$15),IF(G161&lt;=Datos!$D$15,(G161*Datos!$C$15)))</f>
        <v>760</v>
      </c>
      <c r="M161" s="162">
        <v>1525</v>
      </c>
      <c r="N161" s="162">
        <f t="shared" si="134"/>
        <v>3002.5</v>
      </c>
      <c r="O161" s="191">
        <f t="shared" si="135"/>
        <v>21997.5</v>
      </c>
    </row>
    <row r="162" spans="1:15" ht="36.75" customHeight="1" x14ac:dyDescent="0.2">
      <c r="A162" s="225">
        <v>130</v>
      </c>
      <c r="B162" s="227" t="s">
        <v>538</v>
      </c>
      <c r="C162" s="227" t="s">
        <v>284</v>
      </c>
      <c r="D162" s="227" t="s">
        <v>244</v>
      </c>
      <c r="E162" s="228" t="s">
        <v>280</v>
      </c>
      <c r="F162" s="228" t="s">
        <v>281</v>
      </c>
      <c r="G162" s="162">
        <v>25000</v>
      </c>
      <c r="H162" s="162">
        <v>0</v>
      </c>
      <c r="I162" s="162">
        <f t="shared" si="136"/>
        <v>25000</v>
      </c>
      <c r="J162" s="163">
        <f>IF(G162&gt;=Datos!$D$14,(Datos!$D$14*Datos!$C$14),IF(G162&lt;=Datos!$D$14,(G162*Datos!$C$14)))</f>
        <v>717.5</v>
      </c>
      <c r="K162" s="164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63">
        <f>IF(G162&gt;=Datos!$D$15,(Datos!$D$15*Datos!$C$15),IF(G162&lt;=Datos!$D$15,(G162*Datos!$C$15)))</f>
        <v>760</v>
      </c>
      <c r="M162" s="162">
        <v>25</v>
      </c>
      <c r="N162" s="162">
        <f t="shared" si="134"/>
        <v>1502.5</v>
      </c>
      <c r="O162" s="191">
        <f t="shared" si="135"/>
        <v>23497.5</v>
      </c>
    </row>
    <row r="163" spans="1:15" ht="36.75" customHeight="1" x14ac:dyDescent="0.2">
      <c r="A163" s="225">
        <v>131</v>
      </c>
      <c r="B163" s="227" t="s">
        <v>302</v>
      </c>
      <c r="C163" s="227" t="s">
        <v>412</v>
      </c>
      <c r="D163" s="227" t="s">
        <v>244</v>
      </c>
      <c r="E163" s="228" t="s">
        <v>280</v>
      </c>
      <c r="F163" s="228" t="s">
        <v>281</v>
      </c>
      <c r="G163" s="162">
        <v>25000</v>
      </c>
      <c r="H163" s="162">
        <v>0</v>
      </c>
      <c r="I163" s="162">
        <f t="shared" ref="I163:I164" si="137">SUM(G163:H163)</f>
        <v>25000</v>
      </c>
      <c r="J163" s="163">
        <f>IF(G163&gt;=Datos!$D$14,(Datos!$D$14*Datos!$C$14),IF(G163&lt;=Datos!$D$14,(G163*Datos!$C$14)))</f>
        <v>717.5</v>
      </c>
      <c r="K163" s="164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63">
        <f>IF(G163&gt;=Datos!$D$15,(Datos!$D$15*Datos!$C$15),IF(G163&lt;=Datos!$D$15,(G163*Datos!$C$15)))</f>
        <v>760</v>
      </c>
      <c r="M163" s="162">
        <v>25</v>
      </c>
      <c r="N163" s="162">
        <f t="shared" si="134"/>
        <v>1502.5</v>
      </c>
      <c r="O163" s="191">
        <f t="shared" si="135"/>
        <v>23497.5</v>
      </c>
    </row>
    <row r="164" spans="1:15" ht="36.75" customHeight="1" x14ac:dyDescent="0.2">
      <c r="A164" s="225">
        <v>132</v>
      </c>
      <c r="B164" s="227" t="s">
        <v>519</v>
      </c>
      <c r="C164" s="227" t="s">
        <v>332</v>
      </c>
      <c r="D164" s="227" t="s">
        <v>1068</v>
      </c>
      <c r="E164" s="228" t="s">
        <v>280</v>
      </c>
      <c r="F164" s="228" t="s">
        <v>19</v>
      </c>
      <c r="G164" s="162">
        <v>33000</v>
      </c>
      <c r="H164" s="162">
        <v>0</v>
      </c>
      <c r="I164" s="162">
        <f t="shared" si="137"/>
        <v>33000</v>
      </c>
      <c r="J164" s="163">
        <f>IF(G164&gt;=Datos!$D$14,(Datos!$D$14*Datos!$C$14),IF(G164&lt;=Datos!$D$14,(G164*Datos!$C$14)))</f>
        <v>947.1</v>
      </c>
      <c r="K164" s="164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63">
        <f>IF(G164&gt;=Datos!$D$15,(Datos!$D$15*Datos!$C$15),IF(G164&lt;=Datos!$D$15,(G164*Datos!$C$15)))</f>
        <v>1003.2</v>
      </c>
      <c r="M164" s="162">
        <v>10525</v>
      </c>
      <c r="N164" s="162">
        <f t="shared" si="134"/>
        <v>12475.3</v>
      </c>
      <c r="O164" s="191">
        <f t="shared" si="135"/>
        <v>20524.7</v>
      </c>
    </row>
    <row r="165" spans="1:15" ht="36.75" customHeight="1" x14ac:dyDescent="0.2">
      <c r="A165" s="225">
        <v>133</v>
      </c>
      <c r="B165" s="227" t="s">
        <v>797</v>
      </c>
      <c r="C165" s="227" t="s">
        <v>412</v>
      </c>
      <c r="D165" s="227" t="s">
        <v>244</v>
      </c>
      <c r="E165" s="228" t="s">
        <v>280</v>
      </c>
      <c r="F165" s="228" t="s">
        <v>281</v>
      </c>
      <c r="G165" s="162">
        <v>25000</v>
      </c>
      <c r="H165" s="162">
        <v>0</v>
      </c>
      <c r="I165" s="162">
        <f t="shared" si="133"/>
        <v>25000</v>
      </c>
      <c r="J165" s="163">
        <f>IF(G165&gt;=Datos!$D$14,(Datos!$D$14*Datos!$C$14),IF(G165&lt;=Datos!$D$14,(G165*Datos!$C$14)))</f>
        <v>717.5</v>
      </c>
      <c r="K165" s="164" t="s">
        <v>798</v>
      </c>
      <c r="L165" s="163">
        <f>IF(G165&gt;=Datos!$D$15,(Datos!$D$15*Datos!$C$15),IF(G165&lt;=Datos!$D$15,(G165*Datos!$C$15)))</f>
        <v>760</v>
      </c>
      <c r="M165" s="162">
        <v>25</v>
      </c>
      <c r="N165" s="162">
        <f t="shared" si="134"/>
        <v>1502.5</v>
      </c>
      <c r="O165" s="191">
        <f t="shared" si="135"/>
        <v>23497.5</v>
      </c>
    </row>
    <row r="166" spans="1:15" ht="36.75" customHeight="1" x14ac:dyDescent="0.2">
      <c r="A166" s="225">
        <v>134</v>
      </c>
      <c r="B166" s="227" t="s">
        <v>1028</v>
      </c>
      <c r="C166" s="227" t="s">
        <v>332</v>
      </c>
      <c r="D166" s="227" t="s">
        <v>1029</v>
      </c>
      <c r="E166" s="228" t="s">
        <v>280</v>
      </c>
      <c r="F166" s="228" t="s">
        <v>281</v>
      </c>
      <c r="G166" s="162">
        <v>25000</v>
      </c>
      <c r="H166" s="162">
        <v>0</v>
      </c>
      <c r="I166" s="162">
        <f t="shared" ref="I166" si="138">SUM(G166:H166)</f>
        <v>25000</v>
      </c>
      <c r="J166" s="163">
        <f>IF(G166&gt;=Datos!$D$14,(Datos!$D$14*Datos!$C$14),IF(G166&lt;=Datos!$D$14,(G166*Datos!$C$14)))</f>
        <v>717.5</v>
      </c>
      <c r="K166" s="164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63">
        <f>IF(G166&gt;=Datos!$D$15,(Datos!$D$15*Datos!$C$15),IF(G166&lt;=Datos!$D$15,(G166*Datos!$C$15)))</f>
        <v>760</v>
      </c>
      <c r="M166" s="162">
        <v>25</v>
      </c>
      <c r="N166" s="162">
        <f t="shared" ref="N166" si="139">SUM(J166:M166)</f>
        <v>1502.5</v>
      </c>
      <c r="O166" s="191">
        <f t="shared" ref="O166" si="140">+G166-N166</f>
        <v>23497.5</v>
      </c>
    </row>
    <row r="167" spans="1:15" s="234" customFormat="1" ht="36.75" customHeight="1" x14ac:dyDescent="0.2">
      <c r="A167" s="277" t="s">
        <v>455</v>
      </c>
      <c r="B167" s="278"/>
      <c r="C167" s="232">
        <v>9</v>
      </c>
      <c r="D167" s="232"/>
      <c r="E167" s="233"/>
      <c r="F167" s="166"/>
      <c r="G167" s="167">
        <f t="shared" ref="G167:O167" si="141">SUM(G158:G166)</f>
        <v>233000</v>
      </c>
      <c r="H167" s="167">
        <f t="shared" si="141"/>
        <v>0</v>
      </c>
      <c r="I167" s="167">
        <f t="shared" si="141"/>
        <v>233000</v>
      </c>
      <c r="J167" s="167">
        <f t="shared" si="141"/>
        <v>6687.1</v>
      </c>
      <c r="K167" s="167">
        <f t="shared" si="141"/>
        <v>0</v>
      </c>
      <c r="L167" s="167">
        <f t="shared" si="141"/>
        <v>7083.2</v>
      </c>
      <c r="M167" s="167">
        <f t="shared" si="141"/>
        <v>24436.59</v>
      </c>
      <c r="N167" s="167">
        <f t="shared" si="141"/>
        <v>38206.89</v>
      </c>
      <c r="O167" s="167">
        <f t="shared" si="141"/>
        <v>194793.11000000002</v>
      </c>
    </row>
    <row r="168" spans="1:15" ht="36.75" customHeight="1" x14ac:dyDescent="0.2">
      <c r="A168" s="277" t="s">
        <v>501</v>
      </c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46"/>
    </row>
    <row r="169" spans="1:15" ht="36.75" customHeight="1" x14ac:dyDescent="0.2">
      <c r="A169" s="225">
        <v>135</v>
      </c>
      <c r="B169" s="227" t="s">
        <v>579</v>
      </c>
      <c r="C169" s="227" t="s">
        <v>332</v>
      </c>
      <c r="D169" s="99" t="s">
        <v>1067</v>
      </c>
      <c r="E169" s="228" t="s">
        <v>280</v>
      </c>
      <c r="F169" s="228" t="s">
        <v>281</v>
      </c>
      <c r="G169" s="162">
        <v>33000</v>
      </c>
      <c r="H169" s="162">
        <v>0</v>
      </c>
      <c r="I169" s="162">
        <f t="shared" ref="I169:I176" si="142">SUM(G169:H169)</f>
        <v>33000</v>
      </c>
      <c r="J169" s="163">
        <f>IF(G169&gt;=Datos!$D$14,(Datos!$D$14*Datos!$C$14),IF(G169&lt;=Datos!$D$14,(G169*Datos!$C$14)))</f>
        <v>947.1</v>
      </c>
      <c r="K169" s="164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63">
        <f>IF(G169&gt;=Datos!$D$15,(Datos!$D$15*Datos!$C$15),IF(G169&lt;=Datos!$D$15,(G169*Datos!$C$15)))</f>
        <v>1003.2</v>
      </c>
      <c r="M169" s="162">
        <v>25</v>
      </c>
      <c r="N169" s="162">
        <f t="shared" ref="N169:N170" si="143">SUM(J169:M169)</f>
        <v>1975.3000000000002</v>
      </c>
      <c r="O169" s="191">
        <f t="shared" ref="O169:O170" si="144">+G169-N169</f>
        <v>31024.7</v>
      </c>
    </row>
    <row r="170" spans="1:15" ht="36.75" customHeight="1" x14ac:dyDescent="0.2">
      <c r="A170" s="225">
        <v>136</v>
      </c>
      <c r="B170" s="227" t="s">
        <v>580</v>
      </c>
      <c r="C170" s="227" t="s">
        <v>284</v>
      </c>
      <c r="D170" s="99" t="s">
        <v>1067</v>
      </c>
      <c r="E170" s="228" t="s">
        <v>280</v>
      </c>
      <c r="F170" s="228" t="s">
        <v>281</v>
      </c>
      <c r="G170" s="162">
        <v>33000</v>
      </c>
      <c r="H170" s="162">
        <v>0</v>
      </c>
      <c r="I170" s="162">
        <f t="shared" si="142"/>
        <v>33000</v>
      </c>
      <c r="J170" s="163">
        <f>IF(G170&gt;=Datos!$D$14,(Datos!$D$14*Datos!$C$14),IF(G170&lt;=Datos!$D$14,(G170*Datos!$C$14)))</f>
        <v>947.1</v>
      </c>
      <c r="K170" s="164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163">
        <f>IF(G170&gt;=Datos!$D$15,(Datos!$D$15*Datos!$C$15),IF(G170&lt;=Datos!$D$15,(G170*Datos!$C$15)))</f>
        <v>1003.2</v>
      </c>
      <c r="M170" s="162">
        <v>1538.05</v>
      </c>
      <c r="N170" s="162">
        <f t="shared" si="143"/>
        <v>3488.3500000000004</v>
      </c>
      <c r="O170" s="191">
        <f t="shared" si="144"/>
        <v>29511.65</v>
      </c>
    </row>
    <row r="171" spans="1:15" ht="36.75" customHeight="1" x14ac:dyDescent="0.2">
      <c r="A171" s="225">
        <v>137</v>
      </c>
      <c r="B171" s="227" t="s">
        <v>102</v>
      </c>
      <c r="C171" s="227" t="s">
        <v>286</v>
      </c>
      <c r="D171" s="99" t="s">
        <v>1067</v>
      </c>
      <c r="E171" s="228" t="s">
        <v>280</v>
      </c>
      <c r="F171" s="228" t="s">
        <v>281</v>
      </c>
      <c r="G171" s="162">
        <v>33000</v>
      </c>
      <c r="H171" s="162">
        <v>0</v>
      </c>
      <c r="I171" s="162">
        <f t="shared" ref="I171:I173" si="145">SUM(G171:H171)</f>
        <v>33000</v>
      </c>
      <c r="J171" s="163">
        <f>IF(G171&gt;=Datos!$D$14,(Datos!$D$14*Datos!$C$14),IF(G171&lt;=Datos!$D$14,(G171*Datos!$C$14)))</f>
        <v>947.1</v>
      </c>
      <c r="K171" s="164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63">
        <f>IF(G171&gt;=Datos!$D$15,(Datos!$D$15*Datos!$C$15),IF(G171&lt;=Datos!$D$15,(G171*Datos!$C$15)))</f>
        <v>1003.2</v>
      </c>
      <c r="M171" s="162">
        <v>25</v>
      </c>
      <c r="N171" s="162">
        <f t="shared" ref="N171:N173" si="146">SUM(J171:M171)</f>
        <v>1975.3000000000002</v>
      </c>
      <c r="O171" s="191">
        <f t="shared" ref="O171:O173" si="147">+G171-N171</f>
        <v>31024.7</v>
      </c>
    </row>
    <row r="172" spans="1:15" ht="36.75" customHeight="1" x14ac:dyDescent="0.2">
      <c r="A172" s="225">
        <v>138</v>
      </c>
      <c r="B172" s="227" t="s">
        <v>920</v>
      </c>
      <c r="C172" s="227" t="s">
        <v>285</v>
      </c>
      <c r="D172" s="99" t="s">
        <v>313</v>
      </c>
      <c r="E172" s="228" t="s">
        <v>280</v>
      </c>
      <c r="F172" s="228" t="s">
        <v>281</v>
      </c>
      <c r="G172" s="162">
        <v>22500</v>
      </c>
      <c r="H172" s="162">
        <v>0</v>
      </c>
      <c r="I172" s="162">
        <f t="shared" si="145"/>
        <v>22500</v>
      </c>
      <c r="J172" s="163">
        <f>IF(G172&gt;=Datos!$D$14,(Datos!$D$14*Datos!$C$14),IF(G172&lt;=Datos!$D$14,(G172*Datos!$C$14)))</f>
        <v>645.75</v>
      </c>
      <c r="K172" s="164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63">
        <f>IF(G172&gt;=Datos!$D$15,(Datos!$D$15*Datos!$C$15),IF(G172&lt;=Datos!$D$15,(G172*Datos!$C$15)))</f>
        <v>684</v>
      </c>
      <c r="M172" s="162">
        <v>25</v>
      </c>
      <c r="N172" s="162">
        <f t="shared" si="146"/>
        <v>1354.75</v>
      </c>
      <c r="O172" s="191">
        <f t="shared" si="147"/>
        <v>21145.25</v>
      </c>
    </row>
    <row r="173" spans="1:15" ht="36.75" customHeight="1" x14ac:dyDescent="0.2">
      <c r="A173" s="225">
        <v>139</v>
      </c>
      <c r="B173" s="227" t="s">
        <v>921</v>
      </c>
      <c r="C173" s="227" t="s">
        <v>286</v>
      </c>
      <c r="D173" s="99" t="s">
        <v>313</v>
      </c>
      <c r="E173" s="228" t="s">
        <v>280</v>
      </c>
      <c r="F173" s="228" t="s">
        <v>281</v>
      </c>
      <c r="G173" s="162">
        <v>26000</v>
      </c>
      <c r="H173" s="162">
        <v>0</v>
      </c>
      <c r="I173" s="162">
        <f t="shared" si="145"/>
        <v>26000</v>
      </c>
      <c r="J173" s="163">
        <f>IF(G173&gt;=Datos!$D$14,(Datos!$D$14*Datos!$C$14),IF(G173&lt;=Datos!$D$14,(G173*Datos!$C$14)))</f>
        <v>746.2</v>
      </c>
      <c r="K173" s="164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63">
        <f>IF(G173&gt;=Datos!$D$15,(Datos!$D$15*Datos!$C$15),IF(G173&lt;=Datos!$D$15,(G173*Datos!$C$15)))</f>
        <v>790.4</v>
      </c>
      <c r="M173" s="162">
        <v>25</v>
      </c>
      <c r="N173" s="162">
        <f t="shared" si="146"/>
        <v>1561.6</v>
      </c>
      <c r="O173" s="191">
        <f t="shared" si="147"/>
        <v>24438.400000000001</v>
      </c>
    </row>
    <row r="174" spans="1:15" ht="36.75" customHeight="1" x14ac:dyDescent="0.2">
      <c r="A174" s="225">
        <v>140</v>
      </c>
      <c r="B174" s="227" t="s">
        <v>1030</v>
      </c>
      <c r="C174" s="227" t="s">
        <v>332</v>
      </c>
      <c r="D174" s="99" t="s">
        <v>313</v>
      </c>
      <c r="E174" s="228" t="s">
        <v>280</v>
      </c>
      <c r="F174" s="228" t="s">
        <v>281</v>
      </c>
      <c r="G174" s="162">
        <v>26000</v>
      </c>
      <c r="H174" s="162">
        <v>0</v>
      </c>
      <c r="I174" s="162">
        <f t="shared" ref="I174:I175" si="148">SUM(G174:H174)</f>
        <v>26000</v>
      </c>
      <c r="J174" s="163">
        <f>IF(G174&gt;=Datos!$D$14,(Datos!$D$14*Datos!$C$14),IF(G174&lt;=Datos!$D$14,(G174*Datos!$C$14)))</f>
        <v>746.2</v>
      </c>
      <c r="K174" s="164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63">
        <f>IF(G174&gt;=Datos!$D$15,(Datos!$D$15*Datos!$C$15),IF(G174&lt;=Datos!$D$15,(G174*Datos!$C$15)))</f>
        <v>790.4</v>
      </c>
      <c r="M174" s="162">
        <v>25</v>
      </c>
      <c r="N174" s="162">
        <f t="shared" ref="N174:N175" si="149">SUM(J174:M174)</f>
        <v>1561.6</v>
      </c>
      <c r="O174" s="191">
        <f t="shared" ref="O174:O175" si="150">+G174-N174</f>
        <v>24438.400000000001</v>
      </c>
    </row>
    <row r="175" spans="1:15" ht="36.75" customHeight="1" x14ac:dyDescent="0.2">
      <c r="A175" s="225">
        <v>141</v>
      </c>
      <c r="B175" s="227" t="s">
        <v>1031</v>
      </c>
      <c r="C175" s="227" t="s">
        <v>332</v>
      </c>
      <c r="D175" s="99" t="s">
        <v>313</v>
      </c>
      <c r="E175" s="228" t="s">
        <v>280</v>
      </c>
      <c r="F175" s="228" t="s">
        <v>281</v>
      </c>
      <c r="G175" s="162">
        <v>26000</v>
      </c>
      <c r="H175" s="162">
        <v>0</v>
      </c>
      <c r="I175" s="162">
        <f t="shared" si="148"/>
        <v>26000</v>
      </c>
      <c r="J175" s="163">
        <f>IF(G175&gt;=Datos!$D$14,(Datos!$D$14*Datos!$C$14),IF(G175&lt;=Datos!$D$14,(G175*Datos!$C$14)))</f>
        <v>746.2</v>
      </c>
      <c r="K175" s="164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63">
        <f>IF(G175&gt;=Datos!$D$15,(Datos!$D$15*Datos!$C$15),IF(G175&lt;=Datos!$D$15,(G175*Datos!$C$15)))</f>
        <v>790.4</v>
      </c>
      <c r="M175" s="162">
        <v>25</v>
      </c>
      <c r="N175" s="162">
        <f t="shared" si="149"/>
        <v>1561.6</v>
      </c>
      <c r="O175" s="191">
        <f t="shared" si="150"/>
        <v>24438.400000000001</v>
      </c>
    </row>
    <row r="176" spans="1:15" ht="36.75" customHeight="1" x14ac:dyDescent="0.2">
      <c r="A176" s="225">
        <v>142</v>
      </c>
      <c r="B176" s="227" t="s">
        <v>33</v>
      </c>
      <c r="C176" s="227" t="s">
        <v>285</v>
      </c>
      <c r="D176" s="99" t="s">
        <v>313</v>
      </c>
      <c r="E176" s="228" t="s">
        <v>280</v>
      </c>
      <c r="F176" s="228" t="s">
        <v>19</v>
      </c>
      <c r="G176" s="162">
        <v>33000</v>
      </c>
      <c r="H176" s="162">
        <v>0</v>
      </c>
      <c r="I176" s="162">
        <f t="shared" si="142"/>
        <v>33000</v>
      </c>
      <c r="J176" s="163">
        <f>IF(G176&gt;=Datos!$D$14,(Datos!$D$14*Datos!$C$14),IF(G176&lt;=Datos!$D$14,(G176*Datos!$C$14)))</f>
        <v>947.1</v>
      </c>
      <c r="K176" s="164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63">
        <f>IF(G176&gt;=Datos!$D$15,(Datos!$D$15*Datos!$C$15),IF(G176&lt;=Datos!$D$15,(G176*Datos!$C$15)))</f>
        <v>1003.2</v>
      </c>
      <c r="M176" s="162">
        <v>1740.46</v>
      </c>
      <c r="N176" s="162">
        <f>SUM(J176:M176)</f>
        <v>3690.76</v>
      </c>
      <c r="O176" s="191">
        <f>+G176-N176</f>
        <v>29309.239999999998</v>
      </c>
    </row>
    <row r="177" spans="1:15" ht="36.75" customHeight="1" x14ac:dyDescent="0.2">
      <c r="A177" s="225">
        <v>143</v>
      </c>
      <c r="B177" s="227" t="s">
        <v>130</v>
      </c>
      <c r="C177" s="227" t="s">
        <v>284</v>
      </c>
      <c r="D177" s="99" t="s">
        <v>313</v>
      </c>
      <c r="E177" s="228" t="s">
        <v>280</v>
      </c>
      <c r="F177" s="228" t="s">
        <v>281</v>
      </c>
      <c r="G177" s="162">
        <v>26000</v>
      </c>
      <c r="H177" s="162">
        <v>0</v>
      </c>
      <c r="I177" s="162">
        <f t="shared" ref="I177" si="151">SUM(G177:H177)</f>
        <v>26000</v>
      </c>
      <c r="J177" s="163">
        <f>IF(G177&gt;=Datos!$D$14,(Datos!$D$14*Datos!$C$14),IF(G177&lt;=Datos!$D$14,(G177*Datos!$C$14)))</f>
        <v>746.2</v>
      </c>
      <c r="K177" s="164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63">
        <f>IF(G177&gt;=Datos!$D$15,(Datos!$D$15*Datos!$C$15),IF(G177&lt;=Datos!$D$15,(G177*Datos!$C$15)))</f>
        <v>790.4</v>
      </c>
      <c r="M177" s="162">
        <v>25</v>
      </c>
      <c r="N177" s="162">
        <f>SUM(J177:M177)</f>
        <v>1561.6</v>
      </c>
      <c r="O177" s="191">
        <f>+G177-N177</f>
        <v>24438.400000000001</v>
      </c>
    </row>
    <row r="178" spans="1:15" s="234" customFormat="1" ht="36.75" customHeight="1" x14ac:dyDescent="0.2">
      <c r="A178" s="277" t="s">
        <v>455</v>
      </c>
      <c r="B178" s="278"/>
      <c r="C178" s="232">
        <v>9</v>
      </c>
      <c r="D178" s="232"/>
      <c r="E178" s="233"/>
      <c r="F178" s="166"/>
      <c r="G178" s="167">
        <f t="shared" ref="G178:O178" si="152">SUM(G169:G177)</f>
        <v>258500</v>
      </c>
      <c r="H178" s="167">
        <f t="shared" si="152"/>
        <v>0</v>
      </c>
      <c r="I178" s="167">
        <f t="shared" si="152"/>
        <v>258500</v>
      </c>
      <c r="J178" s="167">
        <f t="shared" si="152"/>
        <v>7418.95</v>
      </c>
      <c r="K178" s="167">
        <f t="shared" si="152"/>
        <v>0</v>
      </c>
      <c r="L178" s="167">
        <f t="shared" si="152"/>
        <v>7858.3999999999987</v>
      </c>
      <c r="M178" s="167">
        <f t="shared" si="152"/>
        <v>3453.51</v>
      </c>
      <c r="N178" s="167">
        <f t="shared" si="152"/>
        <v>18730.86</v>
      </c>
      <c r="O178" s="167">
        <f t="shared" si="152"/>
        <v>239769.13999999998</v>
      </c>
    </row>
    <row r="179" spans="1:15" ht="36.75" customHeight="1" x14ac:dyDescent="0.2">
      <c r="A179" s="277" t="s">
        <v>694</v>
      </c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46"/>
    </row>
    <row r="180" spans="1:15" ht="36.75" customHeight="1" x14ac:dyDescent="0.2">
      <c r="A180" s="225">
        <v>144</v>
      </c>
      <c r="B180" s="227" t="s">
        <v>693</v>
      </c>
      <c r="C180" s="227" t="s">
        <v>284</v>
      </c>
      <c r="D180" s="227" t="s">
        <v>243</v>
      </c>
      <c r="E180" s="228" t="s">
        <v>280</v>
      </c>
      <c r="F180" s="228" t="s">
        <v>19</v>
      </c>
      <c r="G180" s="162">
        <v>33000</v>
      </c>
      <c r="H180" s="162">
        <v>0</v>
      </c>
      <c r="I180" s="162">
        <f t="shared" ref="I180" si="153">SUM(G180:H180)</f>
        <v>33000</v>
      </c>
      <c r="J180" s="163">
        <f>IF(G180&gt;=Datos!$D$14,(Datos!$D$14*Datos!$C$14),IF(G180&lt;=Datos!$D$14,(G180*Datos!$C$14)))</f>
        <v>947.1</v>
      </c>
      <c r="K180" s="164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63">
        <f>IF(G180&gt;=Datos!$D$15,(Datos!$D$15*Datos!$C$15),IF(G180&lt;=Datos!$D$15,(G180*Datos!$C$15)))</f>
        <v>1003.2</v>
      </c>
      <c r="M180" s="162">
        <v>1025</v>
      </c>
      <c r="N180" s="162">
        <f t="shared" ref="N180" si="154">SUM(J180:M180)</f>
        <v>2975.3</v>
      </c>
      <c r="O180" s="191">
        <f t="shared" ref="O180" si="155">+G180-N180</f>
        <v>30024.7</v>
      </c>
    </row>
    <row r="181" spans="1:15" s="234" customFormat="1" ht="36.75" customHeight="1" x14ac:dyDescent="0.2">
      <c r="A181" s="277" t="s">
        <v>455</v>
      </c>
      <c r="B181" s="278"/>
      <c r="C181" s="232">
        <v>1</v>
      </c>
      <c r="D181" s="232"/>
      <c r="E181" s="233"/>
      <c r="F181" s="166"/>
      <c r="G181" s="167">
        <f t="shared" ref="G181:O181" si="156">SUM(G180)</f>
        <v>33000</v>
      </c>
      <c r="H181" s="248">
        <f t="shared" si="156"/>
        <v>0</v>
      </c>
      <c r="I181" s="248">
        <f t="shared" si="156"/>
        <v>33000</v>
      </c>
      <c r="J181" s="248">
        <f t="shared" si="156"/>
        <v>947.1</v>
      </c>
      <c r="K181" s="213">
        <f t="shared" si="156"/>
        <v>0</v>
      </c>
      <c r="L181" s="248">
        <f t="shared" si="156"/>
        <v>1003.2</v>
      </c>
      <c r="M181" s="248">
        <f t="shared" si="156"/>
        <v>1025</v>
      </c>
      <c r="N181" s="249">
        <f t="shared" si="156"/>
        <v>2975.3</v>
      </c>
      <c r="O181" s="250">
        <f t="shared" si="156"/>
        <v>30024.7</v>
      </c>
    </row>
    <row r="182" spans="1:15" ht="36.75" customHeight="1" x14ac:dyDescent="0.2">
      <c r="A182" s="277" t="s">
        <v>496</v>
      </c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46"/>
    </row>
    <row r="183" spans="1:15" ht="36.75" customHeight="1" x14ac:dyDescent="0.2">
      <c r="A183" s="225">
        <v>145</v>
      </c>
      <c r="B183" s="227" t="s">
        <v>581</v>
      </c>
      <c r="C183" s="227" t="s">
        <v>332</v>
      </c>
      <c r="D183" s="99" t="s">
        <v>764</v>
      </c>
      <c r="E183" s="228" t="s">
        <v>280</v>
      </c>
      <c r="F183" s="228" t="s">
        <v>19</v>
      </c>
      <c r="G183" s="162">
        <v>26000</v>
      </c>
      <c r="H183" s="162">
        <v>0</v>
      </c>
      <c r="I183" s="162">
        <f t="shared" ref="I183:I207" si="157">SUM(G183:H183)</f>
        <v>26000</v>
      </c>
      <c r="J183" s="163">
        <f>IF(G183&gt;=Datos!$D$14,(Datos!$D$14*Datos!$C$14),IF(G183&lt;=Datos!$D$14,(G183*Datos!$C$14)))</f>
        <v>746.2</v>
      </c>
      <c r="K183" s="164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63">
        <f>IF(G183&gt;=Datos!$D$15,(Datos!$D$15*Datos!$C$15),IF(G183&lt;=Datos!$D$15,(G183*Datos!$C$15)))</f>
        <v>790.4</v>
      </c>
      <c r="M183" s="162">
        <v>25</v>
      </c>
      <c r="N183" s="162">
        <f t="shared" ref="N183" si="158">SUM(J183:M183)</f>
        <v>1561.6</v>
      </c>
      <c r="O183" s="191">
        <f t="shared" ref="O183" si="159">+G183-N183</f>
        <v>24438.400000000001</v>
      </c>
    </row>
    <row r="184" spans="1:15" ht="36.75" customHeight="1" x14ac:dyDescent="0.2">
      <c r="A184" s="225">
        <v>146</v>
      </c>
      <c r="B184" s="227" t="s">
        <v>673</v>
      </c>
      <c r="C184" s="227" t="s">
        <v>286</v>
      </c>
      <c r="D184" s="99" t="s">
        <v>764</v>
      </c>
      <c r="E184" s="228" t="s">
        <v>280</v>
      </c>
      <c r="F184" s="228" t="s">
        <v>281</v>
      </c>
      <c r="G184" s="162">
        <v>26000</v>
      </c>
      <c r="H184" s="162">
        <v>0</v>
      </c>
      <c r="I184" s="162">
        <f t="shared" si="157"/>
        <v>26000</v>
      </c>
      <c r="J184" s="163">
        <f>IF(G184&gt;=Datos!$D$14,(Datos!$D$14*Datos!$C$14),IF(G184&lt;=Datos!$D$14,(G184*Datos!$C$14)))</f>
        <v>746.2</v>
      </c>
      <c r="K184" s="164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63">
        <f>IF(G184&gt;=Datos!$D$15,(Datos!$D$15*Datos!$C$15),IF(G184&lt;=Datos!$D$15,(G184*Datos!$C$15)))</f>
        <v>790.4</v>
      </c>
      <c r="M184" s="162">
        <v>25</v>
      </c>
      <c r="N184" s="162">
        <f t="shared" ref="N184:N195" si="160">SUM(J184:M184)</f>
        <v>1561.6</v>
      </c>
      <c r="O184" s="191">
        <f t="shared" ref="O184:O195" si="161">+G184-N184</f>
        <v>24438.400000000001</v>
      </c>
    </row>
    <row r="185" spans="1:15" ht="36.75" customHeight="1" x14ac:dyDescent="0.2">
      <c r="A185" s="225">
        <v>147</v>
      </c>
      <c r="B185" s="227" t="s">
        <v>762</v>
      </c>
      <c r="C185" s="227" t="s">
        <v>285</v>
      </c>
      <c r="D185" s="99" t="s">
        <v>764</v>
      </c>
      <c r="E185" s="228" t="s">
        <v>280</v>
      </c>
      <c r="F185" s="228" t="s">
        <v>19</v>
      </c>
      <c r="G185" s="162">
        <v>26000</v>
      </c>
      <c r="H185" s="162">
        <v>0</v>
      </c>
      <c r="I185" s="162">
        <f t="shared" si="157"/>
        <v>26000</v>
      </c>
      <c r="J185" s="163">
        <f>IF(G185&gt;=Datos!$D$14,(Datos!$D$14*Datos!$C$14),IF(G185&lt;=Datos!$D$14,(G185*Datos!$C$14)))</f>
        <v>746.2</v>
      </c>
      <c r="K185" s="164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63">
        <f>IF(G185&gt;=Datos!$D$15,(Datos!$D$15*Datos!$C$15),IF(G185&lt;=Datos!$D$15,(G185*Datos!$C$15)))</f>
        <v>790.4</v>
      </c>
      <c r="M185" s="162">
        <v>25</v>
      </c>
      <c r="N185" s="162">
        <f t="shared" ref="N185:N191" si="162">SUM(J185:M185)</f>
        <v>1561.6</v>
      </c>
      <c r="O185" s="191">
        <f t="shared" ref="O185:O191" si="163">+G185-N185</f>
        <v>24438.400000000001</v>
      </c>
    </row>
    <row r="186" spans="1:15" ht="36.75" customHeight="1" x14ac:dyDescent="0.2">
      <c r="A186" s="225">
        <v>148</v>
      </c>
      <c r="B186" s="227" t="s">
        <v>763</v>
      </c>
      <c r="C186" s="227" t="s">
        <v>659</v>
      </c>
      <c r="D186" s="99" t="s">
        <v>243</v>
      </c>
      <c r="E186" s="228" t="s">
        <v>280</v>
      </c>
      <c r="F186" s="228" t="s">
        <v>19</v>
      </c>
      <c r="G186" s="162">
        <v>33000</v>
      </c>
      <c r="H186" s="162">
        <v>0</v>
      </c>
      <c r="I186" s="162">
        <f t="shared" si="157"/>
        <v>33000</v>
      </c>
      <c r="J186" s="163">
        <f>IF(G186&gt;=Datos!$D$14,(Datos!$D$14*Datos!$C$14),IF(G186&lt;=Datos!$D$14,(G186*Datos!$C$14)))</f>
        <v>947.1</v>
      </c>
      <c r="K186" s="164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63">
        <f>IF(G186&gt;=Datos!$D$15,(Datos!$D$15*Datos!$C$15),IF(G186&lt;=Datos!$D$15,(G186*Datos!$C$15)))</f>
        <v>1003.2</v>
      </c>
      <c r="M186" s="162">
        <v>25</v>
      </c>
      <c r="N186" s="162">
        <f t="shared" ref="N186:N187" si="164">SUM(J186:M186)</f>
        <v>1975.3000000000002</v>
      </c>
      <c r="O186" s="191">
        <f t="shared" ref="O186:O187" si="165">+G186-N186</f>
        <v>31024.7</v>
      </c>
    </row>
    <row r="187" spans="1:15" ht="36.75" customHeight="1" x14ac:dyDescent="0.2">
      <c r="A187" s="225">
        <v>149</v>
      </c>
      <c r="B187" s="227" t="s">
        <v>765</v>
      </c>
      <c r="C187" s="227" t="s">
        <v>284</v>
      </c>
      <c r="D187" s="99" t="s">
        <v>241</v>
      </c>
      <c r="E187" s="228" t="s">
        <v>280</v>
      </c>
      <c r="F187" s="228" t="s">
        <v>19</v>
      </c>
      <c r="G187" s="162">
        <v>26000</v>
      </c>
      <c r="H187" s="162">
        <v>0</v>
      </c>
      <c r="I187" s="162">
        <f t="shared" si="157"/>
        <v>26000</v>
      </c>
      <c r="J187" s="163">
        <f>IF(G187&gt;=Datos!$D$14,(Datos!$D$14*Datos!$C$14),IF(G187&lt;=Datos!$D$14,(G187*Datos!$C$14)))</f>
        <v>746.2</v>
      </c>
      <c r="K187" s="164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63">
        <f>IF(G187&gt;=Datos!$D$15,(Datos!$D$15*Datos!$C$15),IF(G187&lt;=Datos!$D$15,(G187*Datos!$C$15)))</f>
        <v>790.4</v>
      </c>
      <c r="M187" s="162">
        <v>25</v>
      </c>
      <c r="N187" s="162">
        <f t="shared" si="164"/>
        <v>1561.6</v>
      </c>
      <c r="O187" s="191">
        <f t="shared" si="165"/>
        <v>24438.400000000001</v>
      </c>
    </row>
    <row r="188" spans="1:15" ht="36.75" customHeight="1" x14ac:dyDescent="0.2">
      <c r="A188" s="225">
        <v>150</v>
      </c>
      <c r="B188" s="227" t="s">
        <v>792</v>
      </c>
      <c r="C188" s="227" t="s">
        <v>659</v>
      </c>
      <c r="D188" s="99" t="s">
        <v>243</v>
      </c>
      <c r="E188" s="228" t="s">
        <v>280</v>
      </c>
      <c r="F188" s="228" t="s">
        <v>281</v>
      </c>
      <c r="G188" s="162">
        <v>33000</v>
      </c>
      <c r="H188" s="162">
        <v>0</v>
      </c>
      <c r="I188" s="162">
        <f t="shared" si="157"/>
        <v>33000</v>
      </c>
      <c r="J188" s="163">
        <f>IF(G188&gt;=Datos!$D$14,(Datos!$D$14*Datos!$C$14),IF(G188&lt;=Datos!$D$14,(G188*Datos!$C$14)))</f>
        <v>947.1</v>
      </c>
      <c r="K188" s="164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163">
        <f>IF(G188&gt;=Datos!$D$15,(Datos!$D$15*Datos!$C$15),IF(G188&lt;=Datos!$D$15,(G188*Datos!$C$15)))</f>
        <v>1003.2</v>
      </c>
      <c r="M188" s="162">
        <v>25</v>
      </c>
      <c r="N188" s="162">
        <f>SUM(J188:M188)</f>
        <v>1975.3000000000002</v>
      </c>
      <c r="O188" s="191">
        <f>+G188-N188</f>
        <v>31024.7</v>
      </c>
    </row>
    <row r="189" spans="1:15" ht="36.75" customHeight="1" x14ac:dyDescent="0.2">
      <c r="A189" s="225">
        <v>151</v>
      </c>
      <c r="B189" s="227" t="s">
        <v>793</v>
      </c>
      <c r="C189" s="227" t="s">
        <v>794</v>
      </c>
      <c r="D189" s="99" t="s">
        <v>243</v>
      </c>
      <c r="E189" s="228" t="s">
        <v>280</v>
      </c>
      <c r="F189" s="228" t="s">
        <v>19</v>
      </c>
      <c r="G189" s="162">
        <v>33000</v>
      </c>
      <c r="H189" s="162">
        <v>0</v>
      </c>
      <c r="I189" s="162">
        <f t="shared" si="157"/>
        <v>33000</v>
      </c>
      <c r="J189" s="163">
        <f>IF(G189&gt;=Datos!$D$14,(Datos!$D$14*Datos!$C$14),IF(G189&lt;=Datos!$D$14,(G189*Datos!$C$14)))</f>
        <v>947.1</v>
      </c>
      <c r="K189" s="164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163">
        <f>IF(G189&gt;=Datos!$D$15,(Datos!$D$15*Datos!$C$15),IF(G189&lt;=Datos!$D$15,(G189*Datos!$C$15)))</f>
        <v>1003.2</v>
      </c>
      <c r="M189" s="162">
        <v>25</v>
      </c>
      <c r="N189" s="162">
        <f>SUM(J189:M189)</f>
        <v>1975.3000000000002</v>
      </c>
      <c r="O189" s="191">
        <f>+G189-N189</f>
        <v>31024.7</v>
      </c>
    </row>
    <row r="190" spans="1:15" ht="36.75" customHeight="1" x14ac:dyDescent="0.2">
      <c r="A190" s="225">
        <v>152</v>
      </c>
      <c r="B190" s="227" t="s">
        <v>530</v>
      </c>
      <c r="C190" s="227" t="s">
        <v>794</v>
      </c>
      <c r="D190" s="99" t="s">
        <v>243</v>
      </c>
      <c r="E190" s="228" t="s">
        <v>280</v>
      </c>
      <c r="F190" s="228" t="s">
        <v>19</v>
      </c>
      <c r="G190" s="162">
        <v>33000</v>
      </c>
      <c r="H190" s="162">
        <v>0</v>
      </c>
      <c r="I190" s="162">
        <f t="shared" ref="I190" si="166">SUM(G190:H190)</f>
        <v>33000</v>
      </c>
      <c r="J190" s="163">
        <f>IF(G190&gt;=Datos!$D$14,(Datos!$D$14*Datos!$C$14),IF(G190&lt;=Datos!$D$14,(G190*Datos!$C$14)))</f>
        <v>947.1</v>
      </c>
      <c r="K190" s="164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63">
        <f>IF(G190&gt;=Datos!$D$15,(Datos!$D$15*Datos!$C$15),IF(G190&lt;=Datos!$D$15,(G190*Datos!$C$15)))</f>
        <v>1003.2</v>
      </c>
      <c r="M190" s="162">
        <v>25</v>
      </c>
      <c r="N190" s="162">
        <f>SUM(J190:M190)</f>
        <v>1975.3000000000002</v>
      </c>
      <c r="O190" s="191">
        <f>+G190-N190</f>
        <v>31024.7</v>
      </c>
    </row>
    <row r="191" spans="1:15" ht="36.75" customHeight="1" x14ac:dyDescent="0.2">
      <c r="A191" s="225">
        <v>153</v>
      </c>
      <c r="B191" s="227" t="s">
        <v>820</v>
      </c>
      <c r="C191" s="227" t="s">
        <v>285</v>
      </c>
      <c r="D191" s="99" t="s">
        <v>241</v>
      </c>
      <c r="E191" s="228" t="s">
        <v>280</v>
      </c>
      <c r="F191" s="228" t="s">
        <v>19</v>
      </c>
      <c r="G191" s="162">
        <v>26000</v>
      </c>
      <c r="H191" s="162">
        <v>0</v>
      </c>
      <c r="I191" s="162">
        <f t="shared" si="157"/>
        <v>26000</v>
      </c>
      <c r="J191" s="163">
        <f>IF(G191&gt;=Datos!$D$14,(Datos!$D$14*Datos!$C$14),IF(G191&lt;=Datos!$D$14,(G191*Datos!$C$14)))</f>
        <v>746.2</v>
      </c>
      <c r="K191" s="164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163">
        <f>IF(G191&gt;=Datos!$D$15,(Datos!$D$15*Datos!$C$15),IF(G191&lt;=Datos!$D$15,(G191*Datos!$C$15)))</f>
        <v>790.4</v>
      </c>
      <c r="M191" s="162">
        <v>25</v>
      </c>
      <c r="N191" s="162">
        <f t="shared" si="162"/>
        <v>1561.6</v>
      </c>
      <c r="O191" s="191">
        <f t="shared" si="163"/>
        <v>24438.400000000001</v>
      </c>
    </row>
    <row r="192" spans="1:15" ht="36.75" customHeight="1" x14ac:dyDescent="0.2">
      <c r="A192" s="225">
        <v>154</v>
      </c>
      <c r="B192" s="227" t="s">
        <v>922</v>
      </c>
      <c r="C192" s="227" t="s">
        <v>284</v>
      </c>
      <c r="D192" s="99" t="s">
        <v>764</v>
      </c>
      <c r="E192" s="228" t="s">
        <v>280</v>
      </c>
      <c r="F192" s="228" t="s">
        <v>19</v>
      </c>
      <c r="G192" s="162">
        <v>26000</v>
      </c>
      <c r="H192" s="162">
        <v>0</v>
      </c>
      <c r="I192" s="162">
        <f t="shared" si="157"/>
        <v>26000</v>
      </c>
      <c r="J192" s="163">
        <f>IF(G192&gt;=Datos!$D$14,(Datos!$D$14*Datos!$C$14),IF(G192&lt;=Datos!$D$14,(G192*Datos!$C$14)))</f>
        <v>746.2</v>
      </c>
      <c r="K192" s="164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163">
        <f>IF(G192&gt;=Datos!$D$15,(Datos!$D$15*Datos!$C$15),IF(G192&lt;=Datos!$D$15,(G192*Datos!$C$15)))</f>
        <v>790.4</v>
      </c>
      <c r="M192" s="162">
        <v>25</v>
      </c>
      <c r="N192" s="162">
        <f t="shared" ref="N192:N193" si="167">SUM(J192:M192)</f>
        <v>1561.6</v>
      </c>
      <c r="O192" s="191">
        <f t="shared" ref="O192:O193" si="168">+G192-N192</f>
        <v>24438.400000000001</v>
      </c>
    </row>
    <row r="193" spans="1:15" ht="36.75" customHeight="1" x14ac:dyDescent="0.2">
      <c r="A193" s="225">
        <v>155</v>
      </c>
      <c r="B193" s="227" t="s">
        <v>923</v>
      </c>
      <c r="C193" s="227" t="s">
        <v>794</v>
      </c>
      <c r="D193" s="99" t="s">
        <v>243</v>
      </c>
      <c r="E193" s="228" t="s">
        <v>280</v>
      </c>
      <c r="F193" s="228" t="s">
        <v>281</v>
      </c>
      <c r="G193" s="162">
        <v>35000</v>
      </c>
      <c r="H193" s="162">
        <v>0</v>
      </c>
      <c r="I193" s="162">
        <f t="shared" si="157"/>
        <v>35000</v>
      </c>
      <c r="J193" s="163">
        <f>IF(G193&gt;=Datos!$D$14,(Datos!$D$14*Datos!$C$14),IF(G193&lt;=Datos!$D$14,(G193*Datos!$C$14)))</f>
        <v>1004.5</v>
      </c>
      <c r="K193" s="164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63">
        <f>IF(G193&gt;=Datos!$D$15,(Datos!$D$15*Datos!$C$15),IF(G193&lt;=Datos!$D$15,(G193*Datos!$C$15)))</f>
        <v>1064</v>
      </c>
      <c r="M193" s="162">
        <v>25</v>
      </c>
      <c r="N193" s="162">
        <f t="shared" si="167"/>
        <v>2093.5</v>
      </c>
      <c r="O193" s="191">
        <f t="shared" si="168"/>
        <v>32906.5</v>
      </c>
    </row>
    <row r="194" spans="1:15" ht="36.75" customHeight="1" x14ac:dyDescent="0.2">
      <c r="A194" s="225">
        <v>156</v>
      </c>
      <c r="B194" s="227" t="s">
        <v>924</v>
      </c>
      <c r="C194" s="227" t="s">
        <v>332</v>
      </c>
      <c r="D194" s="99" t="s">
        <v>241</v>
      </c>
      <c r="E194" s="228" t="s">
        <v>280</v>
      </c>
      <c r="F194" s="228" t="s">
        <v>19</v>
      </c>
      <c r="G194" s="162">
        <v>26000</v>
      </c>
      <c r="H194" s="162">
        <v>0</v>
      </c>
      <c r="I194" s="162">
        <f t="shared" si="157"/>
        <v>26000</v>
      </c>
      <c r="J194" s="163">
        <f>IF(G194&gt;=Datos!$D$14,(Datos!$D$14*Datos!$C$14),IF(G194&lt;=Datos!$D$14,(G194*Datos!$C$14)))</f>
        <v>746.2</v>
      </c>
      <c r="K194" s="164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63">
        <f>IF(G194&gt;=Datos!$D$15,(Datos!$D$15*Datos!$C$15),IF(G194&lt;=Datos!$D$15,(G194*Datos!$C$15)))</f>
        <v>790.4</v>
      </c>
      <c r="M194" s="162">
        <v>1740.46</v>
      </c>
      <c r="N194" s="162">
        <f t="shared" si="160"/>
        <v>3277.06</v>
      </c>
      <c r="O194" s="191">
        <f t="shared" si="161"/>
        <v>22722.94</v>
      </c>
    </row>
    <row r="195" spans="1:15" ht="36.75" customHeight="1" x14ac:dyDescent="0.2">
      <c r="A195" s="225">
        <v>157</v>
      </c>
      <c r="B195" s="227" t="s">
        <v>582</v>
      </c>
      <c r="C195" s="227" t="s">
        <v>284</v>
      </c>
      <c r="D195" s="99" t="s">
        <v>543</v>
      </c>
      <c r="E195" s="228" t="s">
        <v>280</v>
      </c>
      <c r="F195" s="228" t="s">
        <v>19</v>
      </c>
      <c r="G195" s="162">
        <v>26000</v>
      </c>
      <c r="H195" s="162">
        <v>0</v>
      </c>
      <c r="I195" s="162">
        <f t="shared" si="157"/>
        <v>26000</v>
      </c>
      <c r="J195" s="163">
        <f>IF(G195&gt;=Datos!$D$14,(Datos!$D$14*Datos!$C$14),IF(G195&lt;=Datos!$D$14,(G195*Datos!$C$14)))</f>
        <v>746.2</v>
      </c>
      <c r="K195" s="164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63">
        <f>IF(G195&gt;=Datos!$D$15,(Datos!$D$15*Datos!$C$15),IF(G195&lt;=Datos!$D$15,(G195*Datos!$C$15)))</f>
        <v>790.4</v>
      </c>
      <c r="M195" s="162">
        <v>25</v>
      </c>
      <c r="N195" s="162">
        <f t="shared" si="160"/>
        <v>1561.6</v>
      </c>
      <c r="O195" s="191">
        <f t="shared" si="161"/>
        <v>24438.400000000001</v>
      </c>
    </row>
    <row r="196" spans="1:15" ht="36.75" customHeight="1" x14ac:dyDescent="0.2">
      <c r="A196" s="225">
        <v>158</v>
      </c>
      <c r="B196" s="227" t="s">
        <v>925</v>
      </c>
      <c r="C196" s="227" t="s">
        <v>286</v>
      </c>
      <c r="D196" s="99" t="s">
        <v>543</v>
      </c>
      <c r="E196" s="228" t="s">
        <v>280</v>
      </c>
      <c r="F196" s="228" t="s">
        <v>19</v>
      </c>
      <c r="G196" s="162">
        <v>35000</v>
      </c>
      <c r="H196" s="162">
        <v>0</v>
      </c>
      <c r="I196" s="162">
        <f t="shared" si="157"/>
        <v>35000</v>
      </c>
      <c r="J196" s="163">
        <f>IF(G196&gt;=Datos!$D$14,(Datos!$D$14*Datos!$C$14),IF(G196&lt;=Datos!$D$14,(G196*Datos!$C$14)))</f>
        <v>1004.5</v>
      </c>
      <c r="K196" s="164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63">
        <f>IF(G196&gt;=Datos!$D$15,(Datos!$D$15*Datos!$C$15),IF(G196&lt;=Datos!$D$15,(G196*Datos!$C$15)))</f>
        <v>1064</v>
      </c>
      <c r="M196" s="162">
        <v>1025</v>
      </c>
      <c r="N196" s="162">
        <f t="shared" ref="N196" si="169">SUM(J196:M196)</f>
        <v>3093.5</v>
      </c>
      <c r="O196" s="191">
        <f>+G196-N196</f>
        <v>31906.5</v>
      </c>
    </row>
    <row r="197" spans="1:15" ht="36.75" customHeight="1" x14ac:dyDescent="0.2">
      <c r="A197" s="225">
        <v>159</v>
      </c>
      <c r="B197" s="227" t="s">
        <v>216</v>
      </c>
      <c r="C197" s="227" t="s">
        <v>286</v>
      </c>
      <c r="D197" s="99" t="s">
        <v>241</v>
      </c>
      <c r="E197" s="228" t="s">
        <v>280</v>
      </c>
      <c r="F197" s="228" t="s">
        <v>19</v>
      </c>
      <c r="G197" s="162">
        <v>26000</v>
      </c>
      <c r="H197" s="162">
        <v>0</v>
      </c>
      <c r="I197" s="162">
        <f t="shared" si="157"/>
        <v>26000</v>
      </c>
      <c r="J197" s="163">
        <f>IF(G197&gt;=Datos!$D$14,(Datos!$D$14*Datos!$C$14),IF(G197&lt;=Datos!$D$14,(G197*Datos!$C$14)))</f>
        <v>746.2</v>
      </c>
      <c r="K197" s="164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63">
        <f>IF(G197&gt;=Datos!$D$15,(Datos!$D$15*Datos!$C$15),IF(G197&lt;=Datos!$D$15,(G197*Datos!$C$15)))</f>
        <v>790.4</v>
      </c>
      <c r="M197" s="162">
        <v>25</v>
      </c>
      <c r="N197" s="162">
        <f>SUM(J197:M197)</f>
        <v>1561.6</v>
      </c>
      <c r="O197" s="191">
        <f t="shared" ref="O197:O199" si="170">+G197-N197</f>
        <v>24438.400000000001</v>
      </c>
    </row>
    <row r="198" spans="1:15" ht="36.75" customHeight="1" x14ac:dyDescent="0.2">
      <c r="A198" s="225">
        <v>160</v>
      </c>
      <c r="B198" s="227" t="s">
        <v>306</v>
      </c>
      <c r="C198" s="227" t="s">
        <v>332</v>
      </c>
      <c r="D198" s="99" t="s">
        <v>241</v>
      </c>
      <c r="E198" s="228" t="s">
        <v>280</v>
      </c>
      <c r="F198" s="228" t="s">
        <v>19</v>
      </c>
      <c r="G198" s="162">
        <v>26000</v>
      </c>
      <c r="H198" s="162">
        <v>0</v>
      </c>
      <c r="I198" s="162">
        <f t="shared" si="157"/>
        <v>26000</v>
      </c>
      <c r="J198" s="163">
        <f>IF(G198&gt;=Datos!$D$14,(Datos!$D$14*Datos!$C$14),IF(G198&lt;=Datos!$D$14,(G198*Datos!$C$14)))</f>
        <v>746.2</v>
      </c>
      <c r="K198" s="164" t="str">
        <f>IF((G198-J198-L198)&lt;=Datos!$G$7,"0",IF((G198-J198-L198)&lt;=Datos!$G$8,((G198-J198-L198)-Datos!$F$8)*Datos!$I$6,IF((G198-J198-L198)&lt;=Datos!$G$9,Datos!$I$8+((G198-J198-L198)-Datos!$F$9)*Datos!$J$6,IF((G198-J198-L198)&gt;=Datos!$F$10,(Datos!$I$8+Datos!$J$8)+((G198-J198-L198)-Datos!$F$10)*Datos!$K$6))))</f>
        <v>0</v>
      </c>
      <c r="L198" s="163">
        <f>IF(G198&gt;=Datos!$D$15,(Datos!$D$15*Datos!$C$15),IF(G198&lt;=Datos!$D$15,(G198*Datos!$C$15)))</f>
        <v>790.4</v>
      </c>
      <c r="M198" s="162">
        <v>3025</v>
      </c>
      <c r="N198" s="162">
        <f t="shared" ref="N198" si="171">SUM(J198:M198)</f>
        <v>4561.6000000000004</v>
      </c>
      <c r="O198" s="191">
        <f t="shared" si="170"/>
        <v>21438.400000000001</v>
      </c>
    </row>
    <row r="199" spans="1:15" ht="36.75" customHeight="1" x14ac:dyDescent="0.2">
      <c r="A199" s="225">
        <v>161</v>
      </c>
      <c r="B199" s="227" t="s">
        <v>37</v>
      </c>
      <c r="C199" s="227" t="s">
        <v>285</v>
      </c>
      <c r="D199" s="99" t="s">
        <v>241</v>
      </c>
      <c r="E199" s="228" t="s">
        <v>280</v>
      </c>
      <c r="F199" s="228" t="s">
        <v>19</v>
      </c>
      <c r="G199" s="162">
        <v>26000</v>
      </c>
      <c r="H199" s="162">
        <v>0</v>
      </c>
      <c r="I199" s="162">
        <f t="shared" si="157"/>
        <v>26000</v>
      </c>
      <c r="J199" s="163">
        <f>IF(G199&gt;=Datos!$D$14,(Datos!$D$14*Datos!$C$14),IF(G199&lt;=Datos!$D$14,(G199*Datos!$C$14)))</f>
        <v>746.2</v>
      </c>
      <c r="K199" s="164" t="str">
        <f>IF((G199-J199-L199)&lt;=Datos!$G$7,"0",IF((G199-J199-L199)&lt;=Datos!$G$8,((G199-J199-L199)-Datos!$F$8)*Datos!$I$6,IF((G199-J199-L199)&lt;=Datos!$G$9,Datos!$I$8+((G199-J199-L199)-Datos!$F$9)*Datos!$J$6,IF((G199-J199-L199)&gt;=Datos!$F$10,(Datos!$I$8+Datos!$J$8)+((G199-J199-L199)-Datos!$F$10)*Datos!$K$6))))</f>
        <v>0</v>
      </c>
      <c r="L199" s="163">
        <f>IF(G199&gt;=Datos!$D$15,(Datos!$D$15*Datos!$C$15),IF(G199&lt;=Datos!$D$15,(G199*Datos!$C$15)))</f>
        <v>790.4</v>
      </c>
      <c r="M199" s="162">
        <v>25</v>
      </c>
      <c r="N199" s="162">
        <f>SUM(J199:M199)</f>
        <v>1561.6</v>
      </c>
      <c r="O199" s="191">
        <f t="shared" si="170"/>
        <v>24438.400000000001</v>
      </c>
    </row>
    <row r="200" spans="1:15" ht="36.75" customHeight="1" x14ac:dyDescent="0.2">
      <c r="A200" s="225">
        <v>162</v>
      </c>
      <c r="B200" s="227" t="s">
        <v>133</v>
      </c>
      <c r="C200" s="227" t="s">
        <v>286</v>
      </c>
      <c r="D200" s="99" t="s">
        <v>764</v>
      </c>
      <c r="E200" s="228" t="s">
        <v>280</v>
      </c>
      <c r="F200" s="228" t="s">
        <v>19</v>
      </c>
      <c r="G200" s="162">
        <v>26000</v>
      </c>
      <c r="H200" s="162">
        <v>0</v>
      </c>
      <c r="I200" s="162">
        <f t="shared" si="157"/>
        <v>26000</v>
      </c>
      <c r="J200" s="163">
        <f>IF(G200&gt;=Datos!$D$14,(Datos!$D$14*Datos!$C$14),IF(G200&lt;=Datos!$D$14,(G200*Datos!$C$14)))</f>
        <v>746.2</v>
      </c>
      <c r="K200" s="164" t="str">
        <f>IF((G200-J200-L200)&lt;=Datos!$G$7,"0",IF((G200-J200-L200)&lt;=Datos!$G$8,((G200-J200-L200)-Datos!$F$8)*Datos!$I$6,IF((G200-J200-L200)&lt;=Datos!$G$9,Datos!$I$8+((G200-J200-L200)-Datos!$F$9)*Datos!$J$6,IF((G200-J200-L200)&gt;=Datos!$F$10,(Datos!$I$8+Datos!$J$8)+((G200-J200-L200)-Datos!$F$10)*Datos!$K$6))))</f>
        <v>0</v>
      </c>
      <c r="L200" s="163">
        <f>IF(G200&gt;=Datos!$D$15,(Datos!$D$15*Datos!$C$15),IF(G200&lt;=Datos!$D$15,(G200*Datos!$C$15)))</f>
        <v>790.4</v>
      </c>
      <c r="M200" s="162">
        <v>25</v>
      </c>
      <c r="N200" s="162">
        <f t="shared" ref="N200" si="172">SUM(J200:M200)</f>
        <v>1561.6</v>
      </c>
      <c r="O200" s="191">
        <f>+G200-N200</f>
        <v>24438.400000000001</v>
      </c>
    </row>
    <row r="201" spans="1:15" ht="36.75" customHeight="1" x14ac:dyDescent="0.2">
      <c r="A201" s="225">
        <v>163</v>
      </c>
      <c r="B201" s="227" t="s">
        <v>40</v>
      </c>
      <c r="C201" s="227" t="s">
        <v>332</v>
      </c>
      <c r="D201" s="99" t="s">
        <v>764</v>
      </c>
      <c r="E201" s="228" t="s">
        <v>280</v>
      </c>
      <c r="F201" s="228" t="s">
        <v>19</v>
      </c>
      <c r="G201" s="162">
        <v>38000</v>
      </c>
      <c r="H201" s="162">
        <v>0</v>
      </c>
      <c r="I201" s="162">
        <f t="shared" si="157"/>
        <v>38000</v>
      </c>
      <c r="J201" s="163">
        <f>IF(G201&gt;=Datos!$D$14,(Datos!$D$14*Datos!$C$14),IF(G201&lt;=Datos!$D$14,(G201*Datos!$C$14)))</f>
        <v>1090.5999999999999</v>
      </c>
      <c r="K201" s="164">
        <v>0</v>
      </c>
      <c r="L201" s="163">
        <f>IF(G201&gt;=Datos!$D$15,(Datos!$D$15*Datos!$C$15),IF(G201&lt;=Datos!$D$15,(G201*Datos!$C$15)))</f>
        <v>1155.2</v>
      </c>
      <c r="M201" s="162">
        <v>8025</v>
      </c>
      <c r="N201" s="162">
        <f t="shared" ref="N201:N206" si="173">SUM(J201:M201)</f>
        <v>10270.799999999999</v>
      </c>
      <c r="O201" s="191">
        <f>+G201-N201</f>
        <v>27729.200000000001</v>
      </c>
    </row>
    <row r="202" spans="1:15" ht="36.75" customHeight="1" x14ac:dyDescent="0.2">
      <c r="A202" s="225">
        <v>164</v>
      </c>
      <c r="B202" s="227" t="s">
        <v>520</v>
      </c>
      <c r="C202" s="227" t="s">
        <v>284</v>
      </c>
      <c r="D202" s="99" t="s">
        <v>241</v>
      </c>
      <c r="E202" s="228" t="s">
        <v>280</v>
      </c>
      <c r="F202" s="228" t="s">
        <v>19</v>
      </c>
      <c r="G202" s="162">
        <v>26000</v>
      </c>
      <c r="H202" s="162">
        <v>0</v>
      </c>
      <c r="I202" s="162">
        <f t="shared" si="157"/>
        <v>26000</v>
      </c>
      <c r="J202" s="163">
        <f>IF(G202&gt;=Datos!$D$14,(Datos!$D$14*Datos!$C$14),IF(G202&lt;=Datos!$D$14,(G202*Datos!$C$14)))</f>
        <v>746.2</v>
      </c>
      <c r="K202" s="164" t="str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0</v>
      </c>
      <c r="L202" s="163">
        <f>IF(G202&gt;=Datos!$D$15,(Datos!$D$15*Datos!$C$15),IF(G202&lt;=Datos!$D$15,(G202*Datos!$C$15)))</f>
        <v>790.4</v>
      </c>
      <c r="M202" s="162">
        <v>25</v>
      </c>
      <c r="N202" s="162">
        <f t="shared" ref="N202:N205" si="174">SUM(J202:M202)</f>
        <v>1561.6</v>
      </c>
      <c r="O202" s="191">
        <f t="shared" ref="O202:O204" si="175">+G202-N202</f>
        <v>24438.400000000001</v>
      </c>
    </row>
    <row r="203" spans="1:15" ht="36.75" customHeight="1" x14ac:dyDescent="0.2">
      <c r="A203" s="225">
        <v>165</v>
      </c>
      <c r="B203" s="227" t="s">
        <v>222</v>
      </c>
      <c r="C203" s="227" t="s">
        <v>284</v>
      </c>
      <c r="D203" s="99" t="s">
        <v>764</v>
      </c>
      <c r="E203" s="228" t="s">
        <v>280</v>
      </c>
      <c r="F203" s="228" t="s">
        <v>19</v>
      </c>
      <c r="G203" s="138">
        <v>35000</v>
      </c>
      <c r="H203" s="162">
        <v>0</v>
      </c>
      <c r="I203" s="162">
        <f t="shared" si="157"/>
        <v>35000</v>
      </c>
      <c r="J203" s="163">
        <f>IF(G203&gt;=Datos!$D$14,(Datos!$D$14*Datos!$C$14),IF(G203&lt;=Datos!$D$14,(G203*Datos!$C$14)))</f>
        <v>1004.5</v>
      </c>
      <c r="K203" s="164" t="str">
        <f>IF((G203-J203-L203)&lt;=Datos!$G$7,"0",IF((G203-J203-L203)&lt;=Datos!$G$8,((G203-J203-L203)-Datos!$F$8)*Datos!$I$6,IF((G203-J203-L203)&lt;=Datos!$G$9,Datos!$I$8+((G203-J203-L203)-Datos!$F$9)*Datos!$J$6,IF((G203-J203-L203)&gt;=Datos!$F$10,(Datos!$I$8+Datos!$J$8)+((G203-J203-L203)-Datos!$F$10)*Datos!$K$6))))</f>
        <v>0</v>
      </c>
      <c r="L203" s="163">
        <f>IF(G203&gt;=Datos!$D$15,(Datos!$D$15*Datos!$C$15),IF(G203&lt;=Datos!$D$15,(G203*Datos!$C$15)))</f>
        <v>1064</v>
      </c>
      <c r="M203" s="162">
        <v>1740.46</v>
      </c>
      <c r="N203" s="162">
        <f t="shared" si="174"/>
        <v>3808.96</v>
      </c>
      <c r="O203" s="191">
        <f t="shared" si="175"/>
        <v>31191.040000000001</v>
      </c>
    </row>
    <row r="204" spans="1:15" ht="36.75" customHeight="1" x14ac:dyDescent="0.2">
      <c r="A204" s="225">
        <v>166</v>
      </c>
      <c r="B204" s="227" t="s">
        <v>542</v>
      </c>
      <c r="C204" s="227" t="s">
        <v>285</v>
      </c>
      <c r="D204" s="99" t="s">
        <v>543</v>
      </c>
      <c r="E204" s="228" t="s">
        <v>280</v>
      </c>
      <c r="F204" s="228" t="s">
        <v>19</v>
      </c>
      <c r="G204" s="162">
        <v>35000</v>
      </c>
      <c r="H204" s="162">
        <v>0</v>
      </c>
      <c r="I204" s="162">
        <f t="shared" si="157"/>
        <v>35000</v>
      </c>
      <c r="J204" s="163">
        <f>IF(G204&gt;=Datos!$D$14,(Datos!$D$14*Datos!$C$14),IF(G204&lt;=Datos!$D$14,(G204*Datos!$C$14)))</f>
        <v>1004.5</v>
      </c>
      <c r="K204" s="164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163">
        <f>IF(G204&gt;=Datos!$D$15,(Datos!$D$15*Datos!$C$15),IF(G204&lt;=Datos!$D$15,(G204*Datos!$C$15)))</f>
        <v>1064</v>
      </c>
      <c r="M204" s="162">
        <v>25</v>
      </c>
      <c r="N204" s="162">
        <f t="shared" si="174"/>
        <v>2093.5</v>
      </c>
      <c r="O204" s="191">
        <f t="shared" si="175"/>
        <v>32906.5</v>
      </c>
    </row>
    <row r="205" spans="1:15" ht="36.75" customHeight="1" x14ac:dyDescent="0.2">
      <c r="A205" s="225">
        <v>167</v>
      </c>
      <c r="B205" s="227" t="s">
        <v>56</v>
      </c>
      <c r="C205" s="227" t="s">
        <v>285</v>
      </c>
      <c r="D205" s="99" t="s">
        <v>241</v>
      </c>
      <c r="E205" s="228" t="s">
        <v>280</v>
      </c>
      <c r="F205" s="228" t="s">
        <v>19</v>
      </c>
      <c r="G205" s="162">
        <v>26000</v>
      </c>
      <c r="H205" s="162">
        <v>0</v>
      </c>
      <c r="I205" s="162">
        <f t="shared" si="157"/>
        <v>26000</v>
      </c>
      <c r="J205" s="163">
        <f>IF(G205&gt;=Datos!$D$14,(Datos!$D$14*Datos!$C$14),IF(G205&lt;=Datos!$D$14,(G205*Datos!$C$14)))</f>
        <v>746.2</v>
      </c>
      <c r="K205" s="164" t="str">
        <f>IF((G205-J205-L205)&lt;=Datos!$G$7,"0",IF((G205-J205-L205)&lt;=Datos!$G$8,((G205-J205-L205)-Datos!$F$8)*Datos!$I$6,IF((G205-J205-L205)&lt;=Datos!$G$9,Datos!$I$8+((G205-J205-L205)-Datos!$F$9)*Datos!$J$6,IF((G205-J205-L205)&gt;=Datos!$F$10,(Datos!$I$8+Datos!$J$8)+((G205-J205-L205)-Datos!$F$10)*Datos!$K$6))))</f>
        <v>0</v>
      </c>
      <c r="L205" s="163">
        <f>IF(G205&gt;=Datos!$D$15,(Datos!$D$15*Datos!$C$15),IF(G205&lt;=Datos!$D$15,(G205*Datos!$C$15)))</f>
        <v>790.4</v>
      </c>
      <c r="M205" s="162">
        <v>1740.46</v>
      </c>
      <c r="N205" s="162">
        <f t="shared" si="174"/>
        <v>3277.06</v>
      </c>
      <c r="O205" s="191">
        <f>+G205-N205</f>
        <v>22722.94</v>
      </c>
    </row>
    <row r="206" spans="1:15" ht="36.75" customHeight="1" x14ac:dyDescent="0.2">
      <c r="A206" s="225">
        <v>168</v>
      </c>
      <c r="B206" s="226" t="s">
        <v>503</v>
      </c>
      <c r="C206" s="227" t="s">
        <v>286</v>
      </c>
      <c r="D206" s="99" t="s">
        <v>241</v>
      </c>
      <c r="E206" s="228" t="s">
        <v>280</v>
      </c>
      <c r="F206" s="228" t="s">
        <v>19</v>
      </c>
      <c r="G206" s="138">
        <v>26000</v>
      </c>
      <c r="H206" s="162">
        <v>0</v>
      </c>
      <c r="I206" s="162">
        <f t="shared" si="157"/>
        <v>26000</v>
      </c>
      <c r="J206" s="163">
        <f>IF(G206&gt;=Datos!$D$14,(Datos!$D$14*Datos!$C$14),IF(G206&lt;=Datos!$D$14,(G206*Datos!$C$14)))</f>
        <v>746.2</v>
      </c>
      <c r="K206" s="164" t="str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0</v>
      </c>
      <c r="L206" s="163">
        <f>IF(G206&gt;=Datos!$D$15,(Datos!$D$15*Datos!$C$15),IF(G206&lt;=Datos!$D$15,(G206*Datos!$C$15)))</f>
        <v>790.4</v>
      </c>
      <c r="M206" s="162">
        <v>25</v>
      </c>
      <c r="N206" s="162">
        <f t="shared" si="173"/>
        <v>1561.6</v>
      </c>
      <c r="O206" s="191">
        <f>+G206-N206</f>
        <v>24438.400000000001</v>
      </c>
    </row>
    <row r="207" spans="1:15" ht="36.75" customHeight="1" x14ac:dyDescent="0.2">
      <c r="A207" s="225">
        <v>169</v>
      </c>
      <c r="B207" s="227" t="s">
        <v>541</v>
      </c>
      <c r="C207" s="227" t="s">
        <v>285</v>
      </c>
      <c r="D207" s="99" t="s">
        <v>764</v>
      </c>
      <c r="E207" s="228" t="s">
        <v>280</v>
      </c>
      <c r="F207" s="228" t="s">
        <v>19</v>
      </c>
      <c r="G207" s="162">
        <v>26000</v>
      </c>
      <c r="H207" s="162">
        <v>0</v>
      </c>
      <c r="I207" s="162">
        <f t="shared" si="157"/>
        <v>26000</v>
      </c>
      <c r="J207" s="163">
        <f>IF(G207&gt;=Datos!$D$14,(Datos!$D$14*Datos!$C$14),IF(G207&lt;=Datos!$D$14,(G207*Datos!$C$14)))</f>
        <v>746.2</v>
      </c>
      <c r="K207" s="214">
        <v>0</v>
      </c>
      <c r="L207" s="163">
        <f>IF(G207&gt;=Datos!$D$15,(Datos!$D$15*Datos!$C$15),IF(G207&lt;=Datos!$D$15,(G207*Datos!$C$15)))</f>
        <v>790.4</v>
      </c>
      <c r="M207" s="162">
        <v>25</v>
      </c>
      <c r="N207" s="162">
        <f t="shared" ref="N207" si="176">SUM(J207:M207)</f>
        <v>1561.6</v>
      </c>
      <c r="O207" s="191">
        <f t="shared" ref="O207" si="177">+G207-N207</f>
        <v>24438.400000000001</v>
      </c>
    </row>
    <row r="208" spans="1:15" ht="36.75" customHeight="1" x14ac:dyDescent="0.2">
      <c r="A208" s="225">
        <v>170</v>
      </c>
      <c r="B208" s="227" t="s">
        <v>947</v>
      </c>
      <c r="C208" s="227" t="s">
        <v>285</v>
      </c>
      <c r="D208" s="99" t="s">
        <v>241</v>
      </c>
      <c r="E208" s="228" t="s">
        <v>280</v>
      </c>
      <c r="F208" s="228" t="s">
        <v>19</v>
      </c>
      <c r="G208" s="162">
        <v>26000</v>
      </c>
      <c r="H208" s="162">
        <v>0</v>
      </c>
      <c r="I208" s="162">
        <f t="shared" ref="I208:I213" si="178">SUM(G208:H208)</f>
        <v>26000</v>
      </c>
      <c r="J208" s="163">
        <f>IF(G208&gt;=Datos!$D$14,(Datos!$D$14*Datos!$C$14),IF(G208&lt;=Datos!$D$14,(G208*Datos!$C$14)))</f>
        <v>746.2</v>
      </c>
      <c r="K208" s="214">
        <v>0</v>
      </c>
      <c r="L208" s="163">
        <f>IF(G208&gt;=Datos!$D$15,(Datos!$D$15*Datos!$C$15),IF(G208&lt;=Datos!$D$15,(G208*Datos!$C$15)))</f>
        <v>790.4</v>
      </c>
      <c r="M208" s="162">
        <v>25</v>
      </c>
      <c r="N208" s="162">
        <f t="shared" ref="N208:N213" si="179">SUM(J208:M208)</f>
        <v>1561.6</v>
      </c>
      <c r="O208" s="191">
        <f t="shared" ref="O208:O213" si="180">+G208-N208</f>
        <v>24438.400000000001</v>
      </c>
    </row>
    <row r="209" spans="1:16" ht="36.75" customHeight="1" x14ac:dyDescent="0.2">
      <c r="A209" s="225">
        <v>171</v>
      </c>
      <c r="B209" s="227" t="s">
        <v>948</v>
      </c>
      <c r="C209" s="227" t="s">
        <v>285</v>
      </c>
      <c r="D209" s="99" t="s">
        <v>764</v>
      </c>
      <c r="E209" s="228" t="s">
        <v>280</v>
      </c>
      <c r="F209" s="228" t="s">
        <v>281</v>
      </c>
      <c r="G209" s="162">
        <v>26000</v>
      </c>
      <c r="H209" s="162">
        <v>0</v>
      </c>
      <c r="I209" s="162">
        <f t="shared" si="178"/>
        <v>26000</v>
      </c>
      <c r="J209" s="163">
        <f>IF(G209&gt;=Datos!$D$14,(Datos!$D$14*Datos!$C$14),IF(G209&lt;=Datos!$D$14,(G209*Datos!$C$14)))</f>
        <v>746.2</v>
      </c>
      <c r="K209" s="214">
        <v>0</v>
      </c>
      <c r="L209" s="163">
        <f>IF(G209&gt;=Datos!$D$15,(Datos!$D$15*Datos!$C$15),IF(G209&lt;=Datos!$D$15,(G209*Datos!$C$15)))</f>
        <v>790.4</v>
      </c>
      <c r="M209" s="162">
        <v>25</v>
      </c>
      <c r="N209" s="162">
        <f t="shared" si="179"/>
        <v>1561.6</v>
      </c>
      <c r="O209" s="191">
        <f t="shared" si="180"/>
        <v>24438.400000000001</v>
      </c>
    </row>
    <row r="210" spans="1:16" ht="36.75" customHeight="1" x14ac:dyDescent="0.2">
      <c r="A210" s="225">
        <v>172</v>
      </c>
      <c r="B210" s="227" t="s">
        <v>949</v>
      </c>
      <c r="C210" s="227" t="s">
        <v>284</v>
      </c>
      <c r="D210" s="99" t="s">
        <v>241</v>
      </c>
      <c r="E210" s="228" t="s">
        <v>280</v>
      </c>
      <c r="F210" s="228" t="s">
        <v>19</v>
      </c>
      <c r="G210" s="162">
        <v>26000</v>
      </c>
      <c r="H210" s="162">
        <v>0</v>
      </c>
      <c r="I210" s="162">
        <f t="shared" si="178"/>
        <v>26000</v>
      </c>
      <c r="J210" s="163">
        <f>IF(G210&gt;=Datos!$D$14,(Datos!$D$14*Datos!$C$14),IF(G210&lt;=Datos!$D$14,(G210*Datos!$C$14)))</f>
        <v>746.2</v>
      </c>
      <c r="K210" s="214">
        <v>0</v>
      </c>
      <c r="L210" s="163">
        <f>IF(G210&gt;=Datos!$D$15,(Datos!$D$15*Datos!$C$15),IF(G210&lt;=Datos!$D$15,(G210*Datos!$C$15)))</f>
        <v>790.4</v>
      </c>
      <c r="M210" s="162">
        <v>25</v>
      </c>
      <c r="N210" s="162">
        <f t="shared" si="179"/>
        <v>1561.6</v>
      </c>
      <c r="O210" s="191">
        <f t="shared" si="180"/>
        <v>24438.400000000001</v>
      </c>
    </row>
    <row r="211" spans="1:16" ht="36.75" customHeight="1" x14ac:dyDescent="0.2">
      <c r="A211" s="225">
        <v>173</v>
      </c>
      <c r="B211" s="227" t="s">
        <v>1032</v>
      </c>
      <c r="C211" s="227" t="s">
        <v>286</v>
      </c>
      <c r="D211" s="99" t="s">
        <v>764</v>
      </c>
      <c r="E211" s="228" t="s">
        <v>280</v>
      </c>
      <c r="F211" s="228" t="s">
        <v>19</v>
      </c>
      <c r="G211" s="162">
        <v>26000</v>
      </c>
      <c r="H211" s="162">
        <v>0</v>
      </c>
      <c r="I211" s="162">
        <f t="shared" ref="I211" si="181">SUM(G211:H211)</f>
        <v>26000</v>
      </c>
      <c r="J211" s="163">
        <f>IF(G211&gt;=Datos!$D$14,(Datos!$D$14*Datos!$C$14),IF(G211&lt;=Datos!$D$14,(G211*Datos!$C$14)))</f>
        <v>746.2</v>
      </c>
      <c r="K211" s="214">
        <v>0</v>
      </c>
      <c r="L211" s="163">
        <f>IF(G211&gt;=Datos!$D$15,(Datos!$D$15*Datos!$C$15),IF(G211&lt;=Datos!$D$15,(G211*Datos!$C$15)))</f>
        <v>790.4</v>
      </c>
      <c r="M211" s="162">
        <v>25</v>
      </c>
      <c r="N211" s="162">
        <f t="shared" ref="N211" si="182">SUM(J211:M211)</f>
        <v>1561.6</v>
      </c>
      <c r="O211" s="191">
        <f t="shared" ref="O211" si="183">+G211-N211</f>
        <v>24438.400000000001</v>
      </c>
    </row>
    <row r="212" spans="1:16" ht="36.75" customHeight="1" x14ac:dyDescent="0.2">
      <c r="A212" s="225">
        <v>174</v>
      </c>
      <c r="B212" s="227" t="s">
        <v>1069</v>
      </c>
      <c r="C212" s="227" t="s">
        <v>284</v>
      </c>
      <c r="D212" s="99" t="s">
        <v>241</v>
      </c>
      <c r="E212" s="228" t="s">
        <v>280</v>
      </c>
      <c r="F212" s="228" t="s">
        <v>19</v>
      </c>
      <c r="G212" s="162">
        <v>26000</v>
      </c>
      <c r="H212" s="162">
        <v>0</v>
      </c>
      <c r="I212" s="162">
        <f t="shared" ref="I212" si="184">SUM(G212:H212)</f>
        <v>26000</v>
      </c>
      <c r="J212" s="163">
        <f>IF(G212&gt;=Datos!$D$14,(Datos!$D$14*Datos!$C$14),IF(G212&lt;=Datos!$D$14,(G212*Datos!$C$14)))</f>
        <v>746.2</v>
      </c>
      <c r="K212" s="214">
        <v>0</v>
      </c>
      <c r="L212" s="163">
        <f>IF(G212&gt;=Datos!$D$15,(Datos!$D$15*Datos!$C$15),IF(G212&lt;=Datos!$D$15,(G212*Datos!$C$15)))</f>
        <v>790.4</v>
      </c>
      <c r="M212" s="162">
        <v>25</v>
      </c>
      <c r="N212" s="162">
        <f t="shared" ref="N212" si="185">SUM(J212:M212)</f>
        <v>1561.6</v>
      </c>
      <c r="O212" s="191">
        <f t="shared" ref="O212" si="186">+G212-N212</f>
        <v>24438.400000000001</v>
      </c>
    </row>
    <row r="213" spans="1:16" ht="36.75" customHeight="1" x14ac:dyDescent="0.2">
      <c r="A213" s="225">
        <v>175</v>
      </c>
      <c r="B213" s="227" t="s">
        <v>950</v>
      </c>
      <c r="C213" s="227" t="s">
        <v>332</v>
      </c>
      <c r="D213" s="99" t="s">
        <v>243</v>
      </c>
      <c r="E213" s="228" t="s">
        <v>280</v>
      </c>
      <c r="F213" s="228" t="s">
        <v>19</v>
      </c>
      <c r="G213" s="162">
        <v>26000</v>
      </c>
      <c r="H213" s="162">
        <v>0</v>
      </c>
      <c r="I213" s="162">
        <f t="shared" si="178"/>
        <v>26000</v>
      </c>
      <c r="J213" s="163">
        <f>IF(G213&gt;=Datos!$D$14,(Datos!$D$14*Datos!$C$14),IF(G213&lt;=Datos!$D$14,(G213*Datos!$C$14)))</f>
        <v>746.2</v>
      </c>
      <c r="K213" s="214">
        <v>0</v>
      </c>
      <c r="L213" s="163">
        <f>IF(G213&gt;=Datos!$D$15,(Datos!$D$15*Datos!$C$15),IF(G213&lt;=Datos!$D$15,(G213*Datos!$C$15)))</f>
        <v>790.4</v>
      </c>
      <c r="M213" s="162">
        <v>25</v>
      </c>
      <c r="N213" s="162">
        <f t="shared" si="179"/>
        <v>1561.6</v>
      </c>
      <c r="O213" s="191">
        <f t="shared" si="180"/>
        <v>24438.400000000001</v>
      </c>
    </row>
    <row r="214" spans="1:16" s="234" customFormat="1" ht="36.75" customHeight="1" x14ac:dyDescent="0.2">
      <c r="A214" s="277" t="s">
        <v>455</v>
      </c>
      <c r="B214" s="278"/>
      <c r="C214" s="232">
        <v>31</v>
      </c>
      <c r="D214" s="232"/>
      <c r="E214" s="233"/>
      <c r="F214" s="166"/>
      <c r="G214" s="167">
        <f>SUM(G183:G213)</f>
        <v>882000</v>
      </c>
      <c r="H214" s="167">
        <f t="shared" ref="H214:O214" si="187">SUM(H183:H213)</f>
        <v>0</v>
      </c>
      <c r="I214" s="167">
        <f t="shared" si="187"/>
        <v>882000</v>
      </c>
      <c r="J214" s="167">
        <f t="shared" si="187"/>
        <v>25313.400000000012</v>
      </c>
      <c r="K214" s="167">
        <f t="shared" si="187"/>
        <v>0</v>
      </c>
      <c r="L214" s="167">
        <f t="shared" si="187"/>
        <v>26812.80000000001</v>
      </c>
      <c r="M214" s="167">
        <f t="shared" si="187"/>
        <v>17921.379999999997</v>
      </c>
      <c r="N214" s="167">
        <f t="shared" si="187"/>
        <v>70047.579999999987</v>
      </c>
      <c r="O214" s="167">
        <f t="shared" si="187"/>
        <v>811952.42000000039</v>
      </c>
    </row>
    <row r="215" spans="1:16" ht="36.75" customHeight="1" x14ac:dyDescent="0.2">
      <c r="A215" s="277" t="s">
        <v>821</v>
      </c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46"/>
    </row>
    <row r="216" spans="1:16" ht="36.75" customHeight="1" x14ac:dyDescent="0.2">
      <c r="A216" s="225">
        <v>176</v>
      </c>
      <c r="B216" s="227" t="s">
        <v>134</v>
      </c>
      <c r="C216" s="227" t="s">
        <v>412</v>
      </c>
      <c r="D216" s="99" t="s">
        <v>1066</v>
      </c>
      <c r="E216" s="228" t="s">
        <v>280</v>
      </c>
      <c r="F216" s="228" t="s">
        <v>19</v>
      </c>
      <c r="G216" s="162">
        <v>145000</v>
      </c>
      <c r="H216" s="162">
        <v>0</v>
      </c>
      <c r="I216" s="162">
        <f t="shared" ref="I216:I217" si="188">SUM(G216:H216)</f>
        <v>145000</v>
      </c>
      <c r="J216" s="163">
        <f>IF(G216&gt;=Datos!$D$14,(Datos!$D$14*Datos!$C$14),IF(G216&lt;=Datos!$D$14,(G216*Datos!$C$14)))</f>
        <v>4161.5</v>
      </c>
      <c r="K216" s="164">
        <f>IF((G216-J216-L216)&lt;=Datos!$G$7,"0",IF((G216-J216-L216)&lt;=Datos!$G$8,((G216-J216-L216)-Datos!$F$8)*Datos!$I$6,IF((G216-J216-L216)&lt;=Datos!$G$9,Datos!$I$8+((G216-J216-L216)-Datos!$F$9)*Datos!$J$6,IF((G216-J216-L216)&gt;=Datos!$F$10,(Datos!$I$8+Datos!$J$8)+((G216-J216-L216)-Datos!$F$10)*Datos!$K$6))))</f>
        <v>22690.485666666667</v>
      </c>
      <c r="L216" s="163">
        <f>IF(G216&gt;=Datos!$D$15,(Datos!$D$15*Datos!$C$15),IF(G216&lt;=Datos!$D$15,(G216*Datos!$C$15)))</f>
        <v>4408</v>
      </c>
      <c r="M216" s="162">
        <v>25038.05</v>
      </c>
      <c r="N216" s="162">
        <f t="shared" ref="N216" si="189">SUM(J216:M216)</f>
        <v>56298.035666666663</v>
      </c>
      <c r="O216" s="191">
        <f t="shared" ref="O216" si="190">+G216-N216</f>
        <v>88701.964333333337</v>
      </c>
    </row>
    <row r="217" spans="1:16" ht="36.75" customHeight="1" x14ac:dyDescent="0.2">
      <c r="A217" s="225">
        <v>177</v>
      </c>
      <c r="B217" s="227" t="s">
        <v>766</v>
      </c>
      <c r="C217" s="227" t="s">
        <v>412</v>
      </c>
      <c r="D217" s="227" t="s">
        <v>767</v>
      </c>
      <c r="E217" s="228" t="s">
        <v>280</v>
      </c>
      <c r="F217" s="228" t="s">
        <v>19</v>
      </c>
      <c r="G217" s="162">
        <v>35000</v>
      </c>
      <c r="H217" s="162">
        <v>0</v>
      </c>
      <c r="I217" s="162">
        <f t="shared" si="188"/>
        <v>35000</v>
      </c>
      <c r="J217" s="163">
        <f>IF(G217&gt;=Datos!$D$14,(Datos!$D$14*Datos!$C$14),IF(G217&lt;=Datos!$D$14,(G217*Datos!$C$14)))</f>
        <v>1004.5</v>
      </c>
      <c r="K217" s="164" t="str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0</v>
      </c>
      <c r="L217" s="163">
        <f>IF(G217&gt;=Datos!$D$15,(Datos!$D$15*Datos!$C$15),IF(G217&lt;=Datos!$D$15,(G217*Datos!$C$15)))</f>
        <v>1064</v>
      </c>
      <c r="M217" s="162">
        <v>2025</v>
      </c>
      <c r="N217" s="162">
        <f t="shared" ref="N217" si="191">SUM(J217:M217)</f>
        <v>4093.5</v>
      </c>
      <c r="O217" s="191">
        <f t="shared" ref="O217" si="192">+G217-N217</f>
        <v>30906.5</v>
      </c>
    </row>
    <row r="218" spans="1:16" s="234" customFormat="1" ht="36.75" customHeight="1" x14ac:dyDescent="0.2">
      <c r="A218" s="277" t="s">
        <v>455</v>
      </c>
      <c r="B218" s="278"/>
      <c r="C218" s="232">
        <v>2</v>
      </c>
      <c r="D218" s="232"/>
      <c r="E218" s="233"/>
      <c r="F218" s="166"/>
      <c r="G218" s="167">
        <f>SUM(G216:G217)</f>
        <v>180000</v>
      </c>
      <c r="H218" s="167">
        <f t="shared" ref="H218:O218" si="193">SUM(H216:H217)</f>
        <v>0</v>
      </c>
      <c r="I218" s="167">
        <f t="shared" si="193"/>
        <v>180000</v>
      </c>
      <c r="J218" s="167">
        <f t="shared" si="193"/>
        <v>5166</v>
      </c>
      <c r="K218" s="167">
        <f t="shared" si="193"/>
        <v>22690.485666666667</v>
      </c>
      <c r="L218" s="167">
        <f t="shared" si="193"/>
        <v>5472</v>
      </c>
      <c r="M218" s="167">
        <f t="shared" si="193"/>
        <v>27063.05</v>
      </c>
      <c r="N218" s="167">
        <f t="shared" si="193"/>
        <v>60391.535666666663</v>
      </c>
      <c r="O218" s="167">
        <f t="shared" si="193"/>
        <v>119608.46433333334</v>
      </c>
    </row>
    <row r="219" spans="1:16" ht="36.75" customHeight="1" x14ac:dyDescent="0.2">
      <c r="A219" s="277" t="s">
        <v>583</v>
      </c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46"/>
    </row>
    <row r="220" spans="1:16" ht="36.75" customHeight="1" x14ac:dyDescent="0.2">
      <c r="A220" s="225">
        <v>178</v>
      </c>
      <c r="B220" s="226" t="s">
        <v>674</v>
      </c>
      <c r="C220" s="227" t="s">
        <v>284</v>
      </c>
      <c r="D220" s="226" t="s">
        <v>308</v>
      </c>
      <c r="E220" s="228" t="s">
        <v>280</v>
      </c>
      <c r="F220" s="228" t="s">
        <v>19</v>
      </c>
      <c r="G220" s="138">
        <v>26000</v>
      </c>
      <c r="H220" s="162">
        <v>0</v>
      </c>
      <c r="I220" s="138">
        <f>SUM(G220:H220)</f>
        <v>26000</v>
      </c>
      <c r="J220" s="163">
        <f>IF(G220&gt;=Datos!$D$14,(Datos!$D$14*Datos!$C$14),IF(G220&lt;=Datos!$D$14,(G220*Datos!$C$14)))</f>
        <v>746.2</v>
      </c>
      <c r="K220" s="164" t="str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0</v>
      </c>
      <c r="L220" s="163">
        <f>IF(G220&gt;=Datos!$D$15,(Datos!$D$15*Datos!$C$15),IF(G220&lt;=Datos!$D$15,(G220*Datos!$C$15)))</f>
        <v>790.4</v>
      </c>
      <c r="M220" s="162">
        <v>25</v>
      </c>
      <c r="N220" s="162">
        <f t="shared" ref="N220:N223" si="194">SUM(J220:M220)</f>
        <v>1561.6</v>
      </c>
      <c r="O220" s="191">
        <f t="shared" ref="O220:O229" si="195">+G220-N220</f>
        <v>24438.400000000001</v>
      </c>
    </row>
    <row r="221" spans="1:16" ht="36.75" customHeight="1" x14ac:dyDescent="0.2">
      <c r="A221" s="225">
        <v>179</v>
      </c>
      <c r="B221" s="226" t="s">
        <v>801</v>
      </c>
      <c r="C221" s="227" t="s">
        <v>285</v>
      </c>
      <c r="D221" s="226" t="s">
        <v>308</v>
      </c>
      <c r="E221" s="228" t="s">
        <v>280</v>
      </c>
      <c r="F221" s="228" t="s">
        <v>19</v>
      </c>
      <c r="G221" s="138">
        <v>26000</v>
      </c>
      <c r="H221" s="162">
        <v>0</v>
      </c>
      <c r="I221" s="138">
        <f t="shared" ref="I221:I230" si="196">SUM(G221:H221)</f>
        <v>26000</v>
      </c>
      <c r="J221" s="163">
        <f>IF(G221&gt;=Datos!$D$14,(Datos!$D$14*Datos!$C$14),IF(G221&lt;=Datos!$D$14,(G221*Datos!$C$14)))</f>
        <v>746.2</v>
      </c>
      <c r="K221" s="164" t="str">
        <f>IF((G221-J221-L221)&lt;=Datos!$G$7,"0",IF((G221-J221-L221)&lt;=Datos!$G$8,((G221-J221-L221)-Datos!$F$8)*Datos!$I$6,IF((G221-J221-L221)&lt;=Datos!$G$9,Datos!$I$8+((G221-J221-L221)-Datos!$F$9)*Datos!$J$6,IF((G221-J221-L221)&gt;=Datos!$F$10,(Datos!$I$8+Datos!$J$8)+((G221-J221-L221)-Datos!$F$10)*Datos!$K$6))))</f>
        <v>0</v>
      </c>
      <c r="L221" s="163">
        <f>IF(G221&gt;=Datos!$D$15,(Datos!$D$15*Datos!$C$15),IF(G221&lt;=Datos!$D$15,(G221*Datos!$C$15)))</f>
        <v>790.4</v>
      </c>
      <c r="M221" s="162">
        <v>25</v>
      </c>
      <c r="N221" s="162">
        <f t="shared" ref="N221" si="197">SUM(J221:M221)</f>
        <v>1561.6</v>
      </c>
      <c r="O221" s="191">
        <f t="shared" ref="O221" si="198">+G221-N221</f>
        <v>24438.400000000001</v>
      </c>
    </row>
    <row r="222" spans="1:16" ht="36.75" customHeight="1" x14ac:dyDescent="0.2">
      <c r="A222" s="225">
        <v>180</v>
      </c>
      <c r="B222" s="226" t="s">
        <v>926</v>
      </c>
      <c r="C222" s="227" t="s">
        <v>332</v>
      </c>
      <c r="D222" s="226" t="s">
        <v>308</v>
      </c>
      <c r="E222" s="228" t="s">
        <v>280</v>
      </c>
      <c r="F222" s="228" t="s">
        <v>19</v>
      </c>
      <c r="G222" s="138">
        <v>26000</v>
      </c>
      <c r="H222" s="162">
        <v>0</v>
      </c>
      <c r="I222" s="138">
        <f t="shared" ref="I222" si="199">SUM(G222:H222)</f>
        <v>26000</v>
      </c>
      <c r="J222" s="163">
        <f>IF(G222&gt;=Datos!$D$14,(Datos!$D$14*Datos!$C$14),IF(G222&lt;=Datos!$D$14,(G222*Datos!$C$14)))</f>
        <v>746.2</v>
      </c>
      <c r="K222" s="164" t="str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0</v>
      </c>
      <c r="L222" s="163">
        <f>IF(G222&gt;=Datos!$D$15,(Datos!$D$15*Datos!$C$15),IF(G222&lt;=Datos!$D$15,(G222*Datos!$C$15)))</f>
        <v>790.4</v>
      </c>
      <c r="M222" s="162">
        <v>25</v>
      </c>
      <c r="N222" s="162">
        <f t="shared" ref="N222" si="200">SUM(J222:M222)</f>
        <v>1561.6</v>
      </c>
      <c r="O222" s="191">
        <f t="shared" ref="O222" si="201">+G222-N222</f>
        <v>24438.400000000001</v>
      </c>
    </row>
    <row r="223" spans="1:16" ht="36.75" customHeight="1" x14ac:dyDescent="0.2">
      <c r="A223" s="225">
        <v>181</v>
      </c>
      <c r="B223" s="227" t="s">
        <v>26</v>
      </c>
      <c r="C223" s="227" t="s">
        <v>284</v>
      </c>
      <c r="D223" s="99" t="s">
        <v>1073</v>
      </c>
      <c r="E223" s="228" t="s">
        <v>280</v>
      </c>
      <c r="F223" s="228" t="s">
        <v>19</v>
      </c>
      <c r="G223" s="162">
        <v>50000</v>
      </c>
      <c r="H223" s="162">
        <v>0</v>
      </c>
      <c r="I223" s="138">
        <f t="shared" si="196"/>
        <v>50000</v>
      </c>
      <c r="J223" s="163">
        <f>IF(G223&gt;=Datos!$D$14,(Datos!$D$14*Datos!$C$14),IF(G223&lt;=Datos!$D$14,(G223*Datos!$C$14)))</f>
        <v>1435</v>
      </c>
      <c r="K223" s="164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1853.9984999999997</v>
      </c>
      <c r="L223" s="163">
        <f>IF(G223&gt;=Datos!$D$15,(Datos!$D$15*Datos!$C$15),IF(G223&lt;=Datos!$D$15,(G223*Datos!$C$15)))</f>
        <v>1520</v>
      </c>
      <c r="M223" s="162">
        <v>25</v>
      </c>
      <c r="N223" s="162">
        <f t="shared" si="194"/>
        <v>4833.9984999999997</v>
      </c>
      <c r="O223" s="191">
        <f t="shared" ref="O223:O224" si="202">+G223-N223</f>
        <v>45166.001499999998</v>
      </c>
    </row>
    <row r="224" spans="1:16" ht="36.75" customHeight="1" x14ac:dyDescent="0.2">
      <c r="A224" s="225">
        <v>182</v>
      </c>
      <c r="B224" s="226" t="s">
        <v>230</v>
      </c>
      <c r="C224" s="227" t="s">
        <v>286</v>
      </c>
      <c r="D224" s="137" t="s">
        <v>311</v>
      </c>
      <c r="E224" s="228" t="s">
        <v>280</v>
      </c>
      <c r="F224" s="228" t="s">
        <v>19</v>
      </c>
      <c r="G224" s="138">
        <v>26000</v>
      </c>
      <c r="H224" s="162">
        <v>0</v>
      </c>
      <c r="I224" s="138">
        <f t="shared" si="196"/>
        <v>26000</v>
      </c>
      <c r="J224" s="163">
        <f>IF(G224&gt;=Datos!$D$14,(Datos!$D$14*Datos!$C$14),IF(G224&lt;=Datos!$D$14,(G224*Datos!$C$14)))</f>
        <v>746.2</v>
      </c>
      <c r="K224" s="164" t="str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0</v>
      </c>
      <c r="L224" s="163">
        <f>IF(G224&gt;=Datos!$D$15,(Datos!$D$15*Datos!$C$15),IF(G224&lt;=Datos!$D$15,(G224*Datos!$C$15)))</f>
        <v>790.4</v>
      </c>
      <c r="M224" s="162">
        <v>3025</v>
      </c>
      <c r="N224" s="162">
        <f t="shared" ref="N224" si="203">SUM(J224:M224)</f>
        <v>4561.6000000000004</v>
      </c>
      <c r="O224" s="191">
        <f t="shared" si="202"/>
        <v>21438.400000000001</v>
      </c>
      <c r="P224" s="13"/>
    </row>
    <row r="225" spans="1:16" ht="36.75" customHeight="1" x14ac:dyDescent="0.2">
      <c r="A225" s="225">
        <v>183</v>
      </c>
      <c r="B225" s="226" t="s">
        <v>557</v>
      </c>
      <c r="C225" s="227" t="s">
        <v>332</v>
      </c>
      <c r="D225" s="137" t="s">
        <v>499</v>
      </c>
      <c r="E225" s="228" t="s">
        <v>280</v>
      </c>
      <c r="F225" s="228" t="s">
        <v>19</v>
      </c>
      <c r="G225" s="138">
        <v>26000</v>
      </c>
      <c r="H225" s="162">
        <v>0</v>
      </c>
      <c r="I225" s="138">
        <f t="shared" si="196"/>
        <v>26000</v>
      </c>
      <c r="J225" s="163">
        <f>IF(G225&gt;=Datos!$D$14,(Datos!$D$14*Datos!$C$14),IF(G225&lt;=Datos!$D$14,(G225*Datos!$C$14)))</f>
        <v>746.2</v>
      </c>
      <c r="K225" s="164" t="str">
        <f>IF((G225-J225-L225)&lt;=Datos!$G$7,"0",IF((G225-J225-L225)&lt;=Datos!$G$8,((G225-J225-L225)-Datos!$F$8)*Datos!$I$6,IF((G225-J225-L225)&lt;=Datos!$G$9,Datos!$I$8+((G225-J225-L225)-Datos!$F$9)*Datos!$J$6,IF((G225-J225-L225)&gt;=Datos!$F$10,(Datos!$I$8+Datos!$J$8)+((G225-J225-L225)-Datos!$F$10)*Datos!$K$6))))</f>
        <v>0</v>
      </c>
      <c r="L225" s="163">
        <f>IF(G225&gt;=Datos!$D$15,(Datos!$D$15*Datos!$C$15),IF(G225&lt;=Datos!$D$15,(G225*Datos!$C$15)))</f>
        <v>790.4</v>
      </c>
      <c r="M225" s="162">
        <v>25</v>
      </c>
      <c r="N225" s="162">
        <f t="shared" ref="N225" si="204">SUM(J225:M225)</f>
        <v>1561.6</v>
      </c>
      <c r="O225" s="191">
        <f t="shared" si="195"/>
        <v>24438.400000000001</v>
      </c>
      <c r="P225" s="13"/>
    </row>
    <row r="226" spans="1:16" ht="36.75" customHeight="1" x14ac:dyDescent="0.2">
      <c r="A226" s="225">
        <v>184</v>
      </c>
      <c r="B226" s="227" t="s">
        <v>439</v>
      </c>
      <c r="C226" s="227" t="s">
        <v>284</v>
      </c>
      <c r="D226" s="99" t="s">
        <v>311</v>
      </c>
      <c r="E226" s="228" t="s">
        <v>280</v>
      </c>
      <c r="F226" s="228" t="s">
        <v>19</v>
      </c>
      <c r="G226" s="162">
        <v>26000</v>
      </c>
      <c r="H226" s="162">
        <v>0</v>
      </c>
      <c r="I226" s="138">
        <f t="shared" si="196"/>
        <v>26000</v>
      </c>
      <c r="J226" s="163">
        <v>746.2</v>
      </c>
      <c r="K226" s="164" t="str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0</v>
      </c>
      <c r="L226" s="163">
        <v>790.4</v>
      </c>
      <c r="M226" s="162">
        <v>1740.46</v>
      </c>
      <c r="N226" s="162">
        <f t="shared" ref="N226" si="205">SUM(J226:M226)</f>
        <v>3277.06</v>
      </c>
      <c r="O226" s="191">
        <f t="shared" si="195"/>
        <v>22722.94</v>
      </c>
    </row>
    <row r="227" spans="1:16" ht="36.75" customHeight="1" x14ac:dyDescent="0.2">
      <c r="A227" s="225">
        <v>185</v>
      </c>
      <c r="B227" s="227" t="s">
        <v>173</v>
      </c>
      <c r="C227" s="227" t="s">
        <v>286</v>
      </c>
      <c r="D227" s="99" t="s">
        <v>311</v>
      </c>
      <c r="E227" s="228" t="s">
        <v>280</v>
      </c>
      <c r="F227" s="228" t="s">
        <v>19</v>
      </c>
      <c r="G227" s="162">
        <v>26000</v>
      </c>
      <c r="H227" s="162">
        <v>0</v>
      </c>
      <c r="I227" s="138">
        <f t="shared" si="196"/>
        <v>26000</v>
      </c>
      <c r="J227" s="163">
        <f>IF(G227&gt;=Datos!$D$14,(Datos!$D$14*Datos!$C$14),IF(G227&lt;=Datos!$D$14,(G227*Datos!$C$14)))</f>
        <v>746.2</v>
      </c>
      <c r="K227" s="164" t="str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0</v>
      </c>
      <c r="L227" s="163">
        <f>IF(G227&gt;=Datos!$D$15,(Datos!$D$15*Datos!$C$15),IF(G227&lt;=Datos!$D$15,(G227*Datos!$C$15)))</f>
        <v>790.4</v>
      </c>
      <c r="M227" s="162">
        <v>4025</v>
      </c>
      <c r="N227" s="162">
        <f>SUM(J227:M227)</f>
        <v>5561.6</v>
      </c>
      <c r="O227" s="191">
        <f>+G227-N227</f>
        <v>20438.400000000001</v>
      </c>
    </row>
    <row r="228" spans="1:16" ht="36.75" customHeight="1" x14ac:dyDescent="0.2">
      <c r="A228" s="225">
        <v>186</v>
      </c>
      <c r="B228" s="226" t="s">
        <v>406</v>
      </c>
      <c r="C228" s="227" t="s">
        <v>285</v>
      </c>
      <c r="D228" s="226" t="s">
        <v>308</v>
      </c>
      <c r="E228" s="228" t="s">
        <v>280</v>
      </c>
      <c r="F228" s="228" t="s">
        <v>19</v>
      </c>
      <c r="G228" s="138">
        <v>26000</v>
      </c>
      <c r="H228" s="162">
        <v>0</v>
      </c>
      <c r="I228" s="138">
        <f t="shared" si="196"/>
        <v>26000</v>
      </c>
      <c r="J228" s="163">
        <f>IF(G228&gt;=Datos!$D$14,(Datos!$D$14*Datos!$C$14),IF(G228&lt;=Datos!$D$14,(G228*Datos!$C$14)))</f>
        <v>746.2</v>
      </c>
      <c r="K228" s="164" t="str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0</v>
      </c>
      <c r="L228" s="163">
        <f>IF(G228&gt;=Datos!$D$15,(Datos!$D$15*Datos!$C$15),IF(G228&lt;=Datos!$D$15,(G228*Datos!$C$15)))</f>
        <v>790.4</v>
      </c>
      <c r="M228" s="162">
        <v>25</v>
      </c>
      <c r="N228" s="162">
        <f t="shared" ref="N228:N229" si="206">SUM(J228:M228)</f>
        <v>1561.6</v>
      </c>
      <c r="O228" s="191">
        <f t="shared" si="195"/>
        <v>24438.400000000001</v>
      </c>
    </row>
    <row r="229" spans="1:16" ht="36.75" customHeight="1" x14ac:dyDescent="0.2">
      <c r="A229" s="225">
        <v>187</v>
      </c>
      <c r="B229" s="226" t="s">
        <v>558</v>
      </c>
      <c r="C229" s="227" t="s">
        <v>332</v>
      </c>
      <c r="D229" s="99" t="s">
        <v>311</v>
      </c>
      <c r="E229" s="228" t="s">
        <v>280</v>
      </c>
      <c r="F229" s="228" t="s">
        <v>19</v>
      </c>
      <c r="G229" s="138">
        <v>26000</v>
      </c>
      <c r="H229" s="162">
        <v>0</v>
      </c>
      <c r="I229" s="138">
        <f t="shared" si="196"/>
        <v>26000</v>
      </c>
      <c r="J229" s="163">
        <f>IF(G229&gt;=Datos!$D$14,(Datos!$D$14*Datos!$C$14),IF(G229&lt;=Datos!$D$14,(G229*Datos!$C$14)))</f>
        <v>746.2</v>
      </c>
      <c r="K229" s="164" t="str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0</v>
      </c>
      <c r="L229" s="163">
        <f>IF(G229&gt;=Datos!$D$15,(Datos!$D$15*Datos!$C$15),IF(G229&lt;=Datos!$D$15,(G229*Datos!$C$15)))</f>
        <v>790.4</v>
      </c>
      <c r="M229" s="162">
        <v>25</v>
      </c>
      <c r="N229" s="162">
        <f t="shared" si="206"/>
        <v>1561.6</v>
      </c>
      <c r="O229" s="191">
        <f t="shared" si="195"/>
        <v>24438.400000000001</v>
      </c>
      <c r="P229" s="13"/>
    </row>
    <row r="230" spans="1:16" ht="36.75" customHeight="1" x14ac:dyDescent="0.2">
      <c r="A230" s="225">
        <v>188</v>
      </c>
      <c r="B230" s="226" t="s">
        <v>356</v>
      </c>
      <c r="C230" s="227" t="s">
        <v>285</v>
      </c>
      <c r="D230" s="226" t="s">
        <v>308</v>
      </c>
      <c r="E230" s="228" t="s">
        <v>280</v>
      </c>
      <c r="F230" s="228" t="s">
        <v>19</v>
      </c>
      <c r="G230" s="138">
        <v>26000</v>
      </c>
      <c r="H230" s="162">
        <v>0</v>
      </c>
      <c r="I230" s="138">
        <f t="shared" si="196"/>
        <v>26000</v>
      </c>
      <c r="J230" s="163">
        <f>IF(G230&gt;=Datos!$D$14,(Datos!$D$14*Datos!$C$14),IF(G230&lt;=Datos!$D$14,(G230*Datos!$C$14)))</f>
        <v>746.2</v>
      </c>
      <c r="K230" s="164" t="str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0</v>
      </c>
      <c r="L230" s="163">
        <f>IF(G230&gt;=Datos!$D$15,(Datos!$D$15*Datos!$C$15),IF(G230&lt;=Datos!$D$15,(G230*Datos!$C$15)))</f>
        <v>790.4</v>
      </c>
      <c r="M230" s="162">
        <v>25</v>
      </c>
      <c r="N230" s="162">
        <f t="shared" ref="N230" si="207">SUM(J230:M230)</f>
        <v>1561.6</v>
      </c>
      <c r="O230" s="191">
        <f t="shared" ref="O230" si="208">+G230-N230</f>
        <v>24438.400000000001</v>
      </c>
    </row>
    <row r="231" spans="1:16" s="234" customFormat="1" ht="36.75" customHeight="1" x14ac:dyDescent="0.2">
      <c r="A231" s="277" t="s">
        <v>455</v>
      </c>
      <c r="B231" s="278"/>
      <c r="C231" s="232">
        <v>11</v>
      </c>
      <c r="D231" s="232"/>
      <c r="E231" s="233"/>
      <c r="F231" s="166"/>
      <c r="G231" s="167">
        <f t="shared" ref="G231:O231" si="209">SUM(G220:G230)</f>
        <v>310000</v>
      </c>
      <c r="H231" s="167">
        <f t="shared" si="209"/>
        <v>0</v>
      </c>
      <c r="I231" s="167">
        <f t="shared" si="209"/>
        <v>310000</v>
      </c>
      <c r="J231" s="167">
        <f t="shared" si="209"/>
        <v>8897</v>
      </c>
      <c r="K231" s="167">
        <f t="shared" si="209"/>
        <v>1853.9984999999997</v>
      </c>
      <c r="L231" s="167">
        <f t="shared" si="209"/>
        <v>9423.9999999999982</v>
      </c>
      <c r="M231" s="167">
        <f t="shared" si="209"/>
        <v>8990.4599999999991</v>
      </c>
      <c r="N231" s="167">
        <f t="shared" si="209"/>
        <v>29165.458499999993</v>
      </c>
      <c r="O231" s="167">
        <f t="shared" si="209"/>
        <v>280834.54149999999</v>
      </c>
    </row>
    <row r="232" spans="1:16" ht="36.75" customHeight="1" x14ac:dyDescent="0.2">
      <c r="A232" s="277" t="s">
        <v>951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46"/>
    </row>
    <row r="233" spans="1:16" ht="36.75" customHeight="1" x14ac:dyDescent="0.2">
      <c r="A233" s="225">
        <v>189</v>
      </c>
      <c r="B233" s="227" t="s">
        <v>952</v>
      </c>
      <c r="C233" s="227" t="s">
        <v>284</v>
      </c>
      <c r="D233" s="227" t="s">
        <v>953</v>
      </c>
      <c r="E233" s="228" t="s">
        <v>280</v>
      </c>
      <c r="F233" s="228" t="s">
        <v>19</v>
      </c>
      <c r="G233" s="162">
        <v>26000</v>
      </c>
      <c r="H233" s="162">
        <v>0</v>
      </c>
      <c r="I233" s="162">
        <f t="shared" ref="I233" si="210">SUM(G233:H233)</f>
        <v>26000</v>
      </c>
      <c r="J233" s="163">
        <f>IF(G233&gt;=Datos!$D$14,(Datos!$D$14*Datos!$C$14),IF(G233&lt;=Datos!$D$14,(G233*Datos!$C$14)))</f>
        <v>746.2</v>
      </c>
      <c r="K233" s="164" t="str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0</v>
      </c>
      <c r="L233" s="163">
        <f>IF(G233&gt;=Datos!$D$15,(Datos!$D$15*Datos!$C$15),IF(G233&lt;=Datos!$D$15,(G233*Datos!$C$15)))</f>
        <v>790.4</v>
      </c>
      <c r="M233" s="162">
        <v>25</v>
      </c>
      <c r="N233" s="162">
        <f t="shared" ref="N233" si="211">SUM(J233:M233)</f>
        <v>1561.6</v>
      </c>
      <c r="O233" s="191">
        <f t="shared" ref="O233" si="212">+G233-N233</f>
        <v>24438.400000000001</v>
      </c>
    </row>
    <row r="234" spans="1:16" s="234" customFormat="1" ht="36.75" customHeight="1" x14ac:dyDescent="0.2">
      <c r="A234" s="277" t="s">
        <v>455</v>
      </c>
      <c r="B234" s="278"/>
      <c r="C234" s="232">
        <v>1</v>
      </c>
      <c r="D234" s="232"/>
      <c r="E234" s="233"/>
      <c r="F234" s="166"/>
      <c r="G234" s="167">
        <f t="shared" ref="G234:O234" si="213">SUM(G233)</f>
        <v>26000</v>
      </c>
      <c r="H234" s="248">
        <f t="shared" si="213"/>
        <v>0</v>
      </c>
      <c r="I234" s="248">
        <f t="shared" si="213"/>
        <v>26000</v>
      </c>
      <c r="J234" s="248">
        <f t="shared" si="213"/>
        <v>746.2</v>
      </c>
      <c r="K234" s="213">
        <f t="shared" si="213"/>
        <v>0</v>
      </c>
      <c r="L234" s="248">
        <f t="shared" si="213"/>
        <v>790.4</v>
      </c>
      <c r="M234" s="248">
        <f t="shared" si="213"/>
        <v>25</v>
      </c>
      <c r="N234" s="249">
        <f t="shared" si="213"/>
        <v>1561.6</v>
      </c>
      <c r="O234" s="250">
        <f t="shared" si="213"/>
        <v>24438.400000000001</v>
      </c>
    </row>
    <row r="235" spans="1:16" ht="36.75" customHeight="1" x14ac:dyDescent="0.2">
      <c r="A235" s="277" t="s">
        <v>687</v>
      </c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46"/>
    </row>
    <row r="236" spans="1:16" ht="36.75" customHeight="1" x14ac:dyDescent="0.2">
      <c r="A236" s="225">
        <v>190</v>
      </c>
      <c r="B236" s="227" t="s">
        <v>79</v>
      </c>
      <c r="C236" s="227" t="s">
        <v>412</v>
      </c>
      <c r="D236" s="227" t="s">
        <v>243</v>
      </c>
      <c r="E236" s="228" t="s">
        <v>280</v>
      </c>
      <c r="F236" s="228" t="s">
        <v>19</v>
      </c>
      <c r="G236" s="162">
        <v>40000</v>
      </c>
      <c r="H236" s="162">
        <v>0</v>
      </c>
      <c r="I236" s="162">
        <f t="shared" ref="I236" si="214">SUM(G236:H236)</f>
        <v>40000</v>
      </c>
      <c r="J236" s="163">
        <f>IF(G236&gt;=Datos!$D$14,(Datos!$D$14*Datos!$C$14),IF(G236&lt;=Datos!$D$14,(G236*Datos!$C$14)))</f>
        <v>1148</v>
      </c>
      <c r="K236" s="164">
        <v>185.33</v>
      </c>
      <c r="L236" s="163">
        <f>IF(G236&gt;=Datos!$D$15,(Datos!$D$15*Datos!$C$15),IF(G236&lt;=Datos!$D$15,(G236*Datos!$C$15)))</f>
        <v>1216</v>
      </c>
      <c r="M236" s="162">
        <v>4241.3500000000004</v>
      </c>
      <c r="N236" s="162">
        <f t="shared" ref="N236" si="215">SUM(J236:M236)</f>
        <v>6790.68</v>
      </c>
      <c r="O236" s="191">
        <f t="shared" ref="O236" si="216">+G236-N236</f>
        <v>33209.32</v>
      </c>
    </row>
    <row r="237" spans="1:16" s="234" customFormat="1" ht="36.75" customHeight="1" x14ac:dyDescent="0.2">
      <c r="A237" s="277" t="s">
        <v>455</v>
      </c>
      <c r="B237" s="278"/>
      <c r="C237" s="232">
        <v>1</v>
      </c>
      <c r="D237" s="232"/>
      <c r="E237" s="233"/>
      <c r="F237" s="166"/>
      <c r="G237" s="167">
        <f t="shared" ref="G237:O237" si="217">SUM(G236)</f>
        <v>40000</v>
      </c>
      <c r="H237" s="248">
        <f t="shared" si="217"/>
        <v>0</v>
      </c>
      <c r="I237" s="248">
        <f t="shared" si="217"/>
        <v>40000</v>
      </c>
      <c r="J237" s="248">
        <f t="shared" si="217"/>
        <v>1148</v>
      </c>
      <c r="K237" s="213">
        <f t="shared" si="217"/>
        <v>185.33</v>
      </c>
      <c r="L237" s="248">
        <f t="shared" si="217"/>
        <v>1216</v>
      </c>
      <c r="M237" s="248">
        <f t="shared" si="217"/>
        <v>4241.3500000000004</v>
      </c>
      <c r="N237" s="249">
        <f t="shared" si="217"/>
        <v>6790.68</v>
      </c>
      <c r="O237" s="250">
        <f t="shared" si="217"/>
        <v>33209.32</v>
      </c>
    </row>
    <row r="238" spans="1:16" ht="36.75" customHeight="1" x14ac:dyDescent="0.2">
      <c r="A238" s="277" t="s">
        <v>587</v>
      </c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9"/>
    </row>
    <row r="239" spans="1:16" ht="36.75" customHeight="1" x14ac:dyDescent="0.2">
      <c r="A239" s="225">
        <v>191</v>
      </c>
      <c r="B239" s="227" t="s">
        <v>588</v>
      </c>
      <c r="C239" s="227" t="s">
        <v>332</v>
      </c>
      <c r="D239" s="99" t="s">
        <v>437</v>
      </c>
      <c r="E239" s="228" t="s">
        <v>280</v>
      </c>
      <c r="F239" s="228" t="s">
        <v>281</v>
      </c>
      <c r="G239" s="162">
        <v>30000</v>
      </c>
      <c r="H239" s="162">
        <v>0</v>
      </c>
      <c r="I239" s="162">
        <f t="shared" ref="I239:I250" si="218">SUM(G239:H239)</f>
        <v>30000</v>
      </c>
      <c r="J239" s="163">
        <f>IF(G239&gt;=Datos!$D$14,(Datos!$D$14*Datos!$C$14),IF(G239&lt;=Datos!$D$14,(G239*Datos!$C$14)))</f>
        <v>861</v>
      </c>
      <c r="K239" s="164" t="str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0</v>
      </c>
      <c r="L239" s="163">
        <f>IF(G239&gt;=Datos!$D$15,(Datos!$D$15*Datos!$C$15),IF(G239&lt;=Datos!$D$15,(G239*Datos!$C$15)))</f>
        <v>912</v>
      </c>
      <c r="M239" s="162">
        <v>1740.46</v>
      </c>
      <c r="N239" s="162">
        <f t="shared" ref="N239" si="219">SUM(J239:M239)</f>
        <v>3513.46</v>
      </c>
      <c r="O239" s="191">
        <f t="shared" ref="O239" si="220">+G239-N239</f>
        <v>26486.54</v>
      </c>
    </row>
    <row r="240" spans="1:16" ht="36.75" customHeight="1" x14ac:dyDescent="0.2">
      <c r="A240" s="225">
        <v>192</v>
      </c>
      <c r="B240" s="227" t="s">
        <v>688</v>
      </c>
      <c r="C240" s="227" t="s">
        <v>286</v>
      </c>
      <c r="D240" s="99" t="s">
        <v>437</v>
      </c>
      <c r="E240" s="228" t="s">
        <v>280</v>
      </c>
      <c r="F240" s="228" t="s">
        <v>281</v>
      </c>
      <c r="G240" s="162">
        <v>35000</v>
      </c>
      <c r="H240" s="162">
        <v>0</v>
      </c>
      <c r="I240" s="162">
        <f t="shared" si="218"/>
        <v>35000</v>
      </c>
      <c r="J240" s="163">
        <f>IF(G240&gt;=Datos!$D$14,(Datos!$D$14*Datos!$C$14),IF(G240&lt;=Datos!$D$14,(G240*Datos!$C$14)))</f>
        <v>1004.5</v>
      </c>
      <c r="K240" s="164" t="str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0</v>
      </c>
      <c r="L240" s="163">
        <f>IF(G240&gt;=Datos!$D$15,(Datos!$D$15*Datos!$C$15),IF(G240&lt;=Datos!$D$15,(G240*Datos!$C$15)))</f>
        <v>1064</v>
      </c>
      <c r="M240" s="162">
        <v>3650.41</v>
      </c>
      <c r="N240" s="162">
        <f t="shared" ref="N240:N249" si="221">SUM(J240:M240)</f>
        <v>5718.91</v>
      </c>
      <c r="O240" s="191">
        <f t="shared" ref="O240:O250" si="222">+G240-N240</f>
        <v>29281.09</v>
      </c>
    </row>
    <row r="241" spans="1:15" ht="36.75" customHeight="1" x14ac:dyDescent="0.2">
      <c r="A241" s="225">
        <v>193</v>
      </c>
      <c r="B241" s="227" t="s">
        <v>819</v>
      </c>
      <c r="C241" s="227" t="s">
        <v>285</v>
      </c>
      <c r="D241" s="99" t="s">
        <v>246</v>
      </c>
      <c r="E241" s="228" t="s">
        <v>280</v>
      </c>
      <c r="F241" s="228" t="s">
        <v>281</v>
      </c>
      <c r="G241" s="162">
        <v>22500</v>
      </c>
      <c r="H241" s="162">
        <v>0</v>
      </c>
      <c r="I241" s="162">
        <f t="shared" si="218"/>
        <v>22500</v>
      </c>
      <c r="J241" s="163">
        <f>IF(G241&gt;=Datos!$D$14,(Datos!$D$14*Datos!$C$14),IF(G241&lt;=Datos!$D$14,(G241*Datos!$C$14)))</f>
        <v>645.75</v>
      </c>
      <c r="K241" s="164" t="str">
        <f>IF((G241-J241-L241)&lt;=Datos!$G$7,"0",IF((G241-J241-L241)&lt;=Datos!$G$8,((G241-J241-L241)-Datos!$F$8)*Datos!$I$6,IF((G241-J241-L241)&lt;=Datos!$G$9,Datos!$I$8+((G241-J241-L241)-Datos!$F$9)*Datos!$J$6,IF((G241-J241-L241)&gt;=Datos!$F$10,(Datos!$I$8+Datos!$J$8)+((G241-J241-L241)-Datos!$F$10)*Datos!$K$6))))</f>
        <v>0</v>
      </c>
      <c r="L241" s="163">
        <f>IF(G241&gt;=Datos!$D$15,(Datos!$D$15*Datos!$C$15),IF(G241&lt;=Datos!$D$15,(G241*Datos!$C$15)))</f>
        <v>684</v>
      </c>
      <c r="M241" s="162">
        <v>25</v>
      </c>
      <c r="N241" s="162">
        <f t="shared" ref="N241" si="223">SUM(J241:M241)</f>
        <v>1354.75</v>
      </c>
      <c r="O241" s="191">
        <f t="shared" ref="O241" si="224">+G241-N241</f>
        <v>21145.25</v>
      </c>
    </row>
    <row r="242" spans="1:15" ht="36.75" customHeight="1" x14ac:dyDescent="0.2">
      <c r="A242" s="225">
        <v>194</v>
      </c>
      <c r="B242" s="227" t="s">
        <v>927</v>
      </c>
      <c r="C242" s="227" t="s">
        <v>286</v>
      </c>
      <c r="D242" s="99" t="s">
        <v>246</v>
      </c>
      <c r="E242" s="228" t="s">
        <v>280</v>
      </c>
      <c r="F242" s="228" t="s">
        <v>281</v>
      </c>
      <c r="G242" s="162">
        <v>20000</v>
      </c>
      <c r="H242" s="162">
        <v>0</v>
      </c>
      <c r="I242" s="162">
        <f t="shared" ref="I242" si="225">SUM(G242:H242)</f>
        <v>20000</v>
      </c>
      <c r="J242" s="163">
        <f>IF(G242&gt;=Datos!$D$14,(Datos!$D$14*Datos!$C$14),IF(G242&lt;=Datos!$D$14,(G242*Datos!$C$14)))</f>
        <v>574</v>
      </c>
      <c r="K242" s="164" t="str">
        <f>IF((G242-J242-L242)&lt;=Datos!$G$7,"0",IF((G242-J242-L242)&lt;=Datos!$G$8,((G242-J242-L242)-Datos!$F$8)*Datos!$I$6,IF((G242-J242-L242)&lt;=Datos!$G$9,Datos!$I$8+((G242-J242-L242)-Datos!$F$9)*Datos!$J$6,IF((G242-J242-L242)&gt;=Datos!$F$10,(Datos!$I$8+Datos!$J$8)+((G242-J242-L242)-Datos!$F$10)*Datos!$K$6))))</f>
        <v>0</v>
      </c>
      <c r="L242" s="163">
        <f>IF(G242&gt;=Datos!$D$15,(Datos!$D$15*Datos!$C$15),IF(G242&lt;=Datos!$D$15,(G242*Datos!$C$15)))</f>
        <v>608</v>
      </c>
      <c r="M242" s="162">
        <v>2025</v>
      </c>
      <c r="N242" s="162">
        <f t="shared" ref="N242" si="226">SUM(J242:M242)</f>
        <v>3207</v>
      </c>
      <c r="O242" s="191">
        <f t="shared" ref="O242" si="227">+G242-N242</f>
        <v>16793</v>
      </c>
    </row>
    <row r="243" spans="1:15" ht="36.75" customHeight="1" x14ac:dyDescent="0.2">
      <c r="A243" s="225">
        <v>195</v>
      </c>
      <c r="B243" s="99" t="s">
        <v>442</v>
      </c>
      <c r="C243" s="227" t="s">
        <v>332</v>
      </c>
      <c r="D243" s="99" t="s">
        <v>437</v>
      </c>
      <c r="E243" s="228" t="s">
        <v>280</v>
      </c>
      <c r="F243" s="228" t="s">
        <v>281</v>
      </c>
      <c r="G243" s="162">
        <v>35000</v>
      </c>
      <c r="H243" s="162">
        <v>0</v>
      </c>
      <c r="I243" s="162">
        <f t="shared" si="218"/>
        <v>35000</v>
      </c>
      <c r="J243" s="163">
        <v>1004.5</v>
      </c>
      <c r="K243" s="164" t="str">
        <f>IF((G243-J243-L243)&lt;=Datos!$G$7,"0",IF((G243-J243-L243)&lt;=Datos!$G$8,((G243-J243-L243)-Datos!$F$8)*Datos!$I$6,IF((G243-J243-L243)&lt;=Datos!$G$9,Datos!$I$8+((G243-J243-L243)-Datos!$F$9)*Datos!$J$6,IF((G243-J243-L243)&gt;=Datos!$F$10,(Datos!$I$8+Datos!$J$8)+((G243-J243-L243)-Datos!$F$10)*Datos!$K$6))))</f>
        <v>0</v>
      </c>
      <c r="L243" s="163">
        <v>1064</v>
      </c>
      <c r="M243" s="162">
        <v>13953.41</v>
      </c>
      <c r="N243" s="162">
        <f t="shared" ref="N243:N248" si="228">SUM(J243:M243)</f>
        <v>16021.91</v>
      </c>
      <c r="O243" s="191">
        <f t="shared" ref="O243:O248" si="229">+G243-N243</f>
        <v>18978.09</v>
      </c>
    </row>
    <row r="244" spans="1:15" ht="36.75" customHeight="1" x14ac:dyDescent="0.2">
      <c r="A244" s="225">
        <v>196</v>
      </c>
      <c r="B244" s="227" t="s">
        <v>53</v>
      </c>
      <c r="C244" s="227" t="s">
        <v>284</v>
      </c>
      <c r="D244" s="227" t="s">
        <v>246</v>
      </c>
      <c r="E244" s="228" t="s">
        <v>280</v>
      </c>
      <c r="F244" s="228" t="s">
        <v>281</v>
      </c>
      <c r="G244" s="162">
        <v>22821.75</v>
      </c>
      <c r="H244" s="162">
        <v>0</v>
      </c>
      <c r="I244" s="162">
        <f t="shared" si="218"/>
        <v>22821.75</v>
      </c>
      <c r="J244" s="163">
        <f>IF(G244&gt;=Datos!$D$14,(Datos!$D$14*Datos!$C$14),IF(G244&lt;=Datos!$D$14,(G244*Datos!$C$14)))</f>
        <v>654.98422500000004</v>
      </c>
      <c r="K244" s="164" t="str">
        <f>IF((G244-J244-L244)&lt;=Datos!$G$7,"0",IF((G244-J244-L244)&lt;=Datos!$G$8,((G244-J244-L244)-Datos!$F$8)*Datos!$I$6,IF((G244-J244-L244)&lt;=Datos!$G$9,Datos!$I$8+((G244-J244-L244)-Datos!$F$9)*Datos!$J$6,IF((G244-J244-L244)&gt;=Datos!$F$10,(Datos!$I$8+Datos!$J$8)+((G244-J244-L244)-Datos!$F$10)*Datos!$K$6))))</f>
        <v>0</v>
      </c>
      <c r="L244" s="163">
        <f>IF(G244&gt;=Datos!$D$15,(Datos!$D$15*Datos!$C$15),IF(G244&lt;=Datos!$D$15,(G244*Datos!$C$15)))</f>
        <v>693.78120000000001</v>
      </c>
      <c r="M244" s="162">
        <v>6375.38</v>
      </c>
      <c r="N244" s="162">
        <f t="shared" si="228"/>
        <v>7724.1454250000006</v>
      </c>
      <c r="O244" s="191">
        <f t="shared" si="229"/>
        <v>15097.604574999999</v>
      </c>
    </row>
    <row r="245" spans="1:15" ht="36.75" customHeight="1" x14ac:dyDescent="0.2">
      <c r="A245" s="225">
        <v>197</v>
      </c>
      <c r="B245" s="227" t="s">
        <v>364</v>
      </c>
      <c r="C245" s="227" t="s">
        <v>285</v>
      </c>
      <c r="D245" s="227" t="s">
        <v>437</v>
      </c>
      <c r="E245" s="228" t="s">
        <v>280</v>
      </c>
      <c r="F245" s="228" t="s">
        <v>281</v>
      </c>
      <c r="G245" s="162">
        <v>40000</v>
      </c>
      <c r="H245" s="162">
        <v>0</v>
      </c>
      <c r="I245" s="162">
        <f t="shared" si="218"/>
        <v>40000</v>
      </c>
      <c r="J245" s="163">
        <f>IF(G245&gt;=Datos!$D$14,(Datos!$D$14*Datos!$C$14),IF(G245&lt;=Datos!$D$14,(G245*Datos!$C$14)))</f>
        <v>1148</v>
      </c>
      <c r="K245" s="164">
        <f>IF((G245-J245-L245)&lt;=Datos!$G$7,"0",IF((G245-J245-L245)&lt;=Datos!$G$8,((G245-J245-L245)-Datos!$F$8)*Datos!$I$6,IF((G245-J245-L245)&lt;=Datos!$G$9,Datos!$I$8+((G245-J245-L245)-Datos!$F$9)*Datos!$J$6,IF((G245-J245-L245)&gt;=Datos!$F$10,(Datos!$I$8+Datos!$J$8)+((G245-J245-L245)-Datos!$F$10)*Datos!$K$6))))</f>
        <v>442.64849999999967</v>
      </c>
      <c r="L245" s="163">
        <f>IF(G245&gt;=Datos!$D$15,(Datos!$D$15*Datos!$C$15),IF(G245&lt;=Datos!$D$15,(G245*Datos!$C$15)))</f>
        <v>1216</v>
      </c>
      <c r="M245" s="162">
        <v>25</v>
      </c>
      <c r="N245" s="162">
        <f t="shared" si="228"/>
        <v>2831.6484999999998</v>
      </c>
      <c r="O245" s="191">
        <f t="shared" si="229"/>
        <v>37168.351499999997</v>
      </c>
    </row>
    <row r="246" spans="1:15" ht="36.75" customHeight="1" x14ac:dyDescent="0.2">
      <c r="A246" s="225">
        <v>198</v>
      </c>
      <c r="B246" s="227" t="s">
        <v>154</v>
      </c>
      <c r="C246" s="227" t="s">
        <v>285</v>
      </c>
      <c r="D246" s="227" t="s">
        <v>246</v>
      </c>
      <c r="E246" s="228" t="s">
        <v>280</v>
      </c>
      <c r="F246" s="228" t="s">
        <v>281</v>
      </c>
      <c r="G246" s="162">
        <v>22500</v>
      </c>
      <c r="H246" s="162">
        <v>0</v>
      </c>
      <c r="I246" s="162">
        <f t="shared" si="218"/>
        <v>22500</v>
      </c>
      <c r="J246" s="163">
        <f>IF(G246&gt;=Datos!$D$14,(Datos!$D$14*Datos!$C$14),IF(G246&lt;=Datos!$D$14,(G246*Datos!$C$14)))</f>
        <v>645.75</v>
      </c>
      <c r="K246" s="164" t="str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0</v>
      </c>
      <c r="L246" s="163">
        <f>IF(G246&gt;=Datos!$D$15,(Datos!$D$15*Datos!$C$15),IF(G246&lt;=Datos!$D$15,(G246*Datos!$C$15)))</f>
        <v>684</v>
      </c>
      <c r="M246" s="162">
        <v>25</v>
      </c>
      <c r="N246" s="162">
        <f t="shared" si="228"/>
        <v>1354.75</v>
      </c>
      <c r="O246" s="191">
        <f t="shared" si="229"/>
        <v>21145.25</v>
      </c>
    </row>
    <row r="247" spans="1:15" ht="36.75" customHeight="1" x14ac:dyDescent="0.2">
      <c r="A247" s="225">
        <v>199</v>
      </c>
      <c r="B247" s="227" t="s">
        <v>208</v>
      </c>
      <c r="C247" s="227" t="s">
        <v>284</v>
      </c>
      <c r="D247" s="227" t="s">
        <v>246</v>
      </c>
      <c r="E247" s="228" t="s">
        <v>280</v>
      </c>
      <c r="F247" s="228" t="s">
        <v>281</v>
      </c>
      <c r="G247" s="162">
        <v>22500</v>
      </c>
      <c r="H247" s="162">
        <v>0</v>
      </c>
      <c r="I247" s="162">
        <f t="shared" si="218"/>
        <v>22500</v>
      </c>
      <c r="J247" s="163">
        <f>IF(G247&gt;=Datos!$D$14,(Datos!$D$14*Datos!$C$14),IF(G247&lt;=Datos!$D$14,(G247*Datos!$C$14)))</f>
        <v>645.75</v>
      </c>
      <c r="K247" s="164" t="str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0</v>
      </c>
      <c r="L247" s="163">
        <f>IF(G247&gt;=Datos!$D$15,(Datos!$D$15*Datos!$C$15),IF(G247&lt;=Datos!$D$15,(G247*Datos!$C$15)))</f>
        <v>684</v>
      </c>
      <c r="M247" s="162">
        <v>25</v>
      </c>
      <c r="N247" s="162">
        <f t="shared" si="228"/>
        <v>1354.75</v>
      </c>
      <c r="O247" s="191">
        <f t="shared" si="229"/>
        <v>21145.25</v>
      </c>
    </row>
    <row r="248" spans="1:15" ht="36.75" customHeight="1" x14ac:dyDescent="0.2">
      <c r="A248" s="225">
        <v>200</v>
      </c>
      <c r="B248" s="227" t="s">
        <v>188</v>
      </c>
      <c r="C248" s="227" t="s">
        <v>284</v>
      </c>
      <c r="D248" s="227" t="s">
        <v>246</v>
      </c>
      <c r="E248" s="228" t="s">
        <v>280</v>
      </c>
      <c r="F248" s="228" t="s">
        <v>281</v>
      </c>
      <c r="G248" s="162">
        <v>25357.5</v>
      </c>
      <c r="H248" s="162">
        <v>0</v>
      </c>
      <c r="I248" s="162">
        <f t="shared" si="218"/>
        <v>25357.5</v>
      </c>
      <c r="J248" s="163">
        <f>IF(G248&gt;=Datos!$D$14,(Datos!$D$14*Datos!$C$14),IF(G248&lt;=Datos!$D$14,(G248*Datos!$C$14)))</f>
        <v>727.76025000000004</v>
      </c>
      <c r="K248" s="164" t="str">
        <f>IF((G248-J248-L248)&lt;=Datos!$G$7,"0",IF((G248-J248-L248)&lt;=Datos!$G$8,((G248-J248-L248)-Datos!$F$8)*Datos!$I$6,IF((G248-J248-L248)&lt;=Datos!$G$9,Datos!$I$8+((G248-J248-L248)-Datos!$F$9)*Datos!$J$6,IF((G248-J248-L248)&gt;=Datos!$F$10,(Datos!$I$8+Datos!$J$8)+((G248-J248-L248)-Datos!$F$10)*Datos!$K$6))))</f>
        <v>0</v>
      </c>
      <c r="L248" s="163">
        <f>IF(G248&gt;=Datos!$D$15,(Datos!$D$15*Datos!$C$15),IF(G248&lt;=Datos!$D$15,(G248*Datos!$C$15)))</f>
        <v>770.86800000000005</v>
      </c>
      <c r="M248" s="162">
        <v>25</v>
      </c>
      <c r="N248" s="162">
        <f t="shared" si="228"/>
        <v>1523.6282500000002</v>
      </c>
      <c r="O248" s="191">
        <f t="shared" si="229"/>
        <v>23833.871749999998</v>
      </c>
    </row>
    <row r="249" spans="1:15" ht="36.75" customHeight="1" x14ac:dyDescent="0.2">
      <c r="A249" s="225">
        <v>201</v>
      </c>
      <c r="B249" s="227" t="s">
        <v>46</v>
      </c>
      <c r="C249" s="227" t="s">
        <v>285</v>
      </c>
      <c r="D249" s="227" t="s">
        <v>246</v>
      </c>
      <c r="E249" s="228" t="s">
        <v>280</v>
      </c>
      <c r="F249" s="228" t="s">
        <v>281</v>
      </c>
      <c r="G249" s="162">
        <v>22500</v>
      </c>
      <c r="H249" s="162">
        <v>0</v>
      </c>
      <c r="I249" s="162">
        <f t="shared" si="218"/>
        <v>22500</v>
      </c>
      <c r="J249" s="163">
        <f>IF(G249&gt;=Datos!$D$14,(Datos!$D$14*Datos!$C$14),IF(G249&lt;=Datos!$D$14,(G249*Datos!$C$14)))</f>
        <v>645.75</v>
      </c>
      <c r="K249" s="164" t="str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0</v>
      </c>
      <c r="L249" s="163">
        <f>IF(G249&gt;=Datos!$D$15,(Datos!$D$15*Datos!$C$15),IF(G249&lt;=Datos!$D$15,(G249*Datos!$C$15)))</f>
        <v>684</v>
      </c>
      <c r="M249" s="162">
        <v>25</v>
      </c>
      <c r="N249" s="162">
        <f t="shared" si="221"/>
        <v>1354.75</v>
      </c>
      <c r="O249" s="191">
        <f t="shared" si="222"/>
        <v>21145.25</v>
      </c>
    </row>
    <row r="250" spans="1:15" ht="36.75" customHeight="1" x14ac:dyDescent="0.2">
      <c r="A250" s="225">
        <v>202</v>
      </c>
      <c r="B250" s="227" t="s">
        <v>440</v>
      </c>
      <c r="C250" s="227" t="s">
        <v>286</v>
      </c>
      <c r="D250" s="227" t="s">
        <v>246</v>
      </c>
      <c r="E250" s="228" t="s">
        <v>280</v>
      </c>
      <c r="F250" s="228" t="s">
        <v>281</v>
      </c>
      <c r="G250" s="162">
        <v>20000</v>
      </c>
      <c r="H250" s="162">
        <v>0</v>
      </c>
      <c r="I250" s="162">
        <f t="shared" si="218"/>
        <v>20000</v>
      </c>
      <c r="J250" s="163">
        <v>574</v>
      </c>
      <c r="K250" s="164" t="str">
        <f>IF((G250-J250-L250)&lt;=Datos!$G$7,"0",IF((G250-J250-L250)&lt;=Datos!$G$8,((G250-J250-L250)-Datos!$F$8)*Datos!$I$6,IF((G250-J250-L250)&lt;=Datos!$G$9,Datos!$I$8+((G250-J250-L250)-Datos!$F$9)*Datos!$J$6,IF((G250-J250-L250)&gt;=Datos!$F$10,(Datos!$I$8+Datos!$J$8)+((G250-J250-L250)-Datos!$F$10)*Datos!$K$6))))</f>
        <v>0</v>
      </c>
      <c r="L250" s="163">
        <v>608</v>
      </c>
      <c r="M250" s="162">
        <v>2025</v>
      </c>
      <c r="N250" s="162">
        <f t="shared" ref="N250" si="230">SUM(J250:M250)</f>
        <v>3207</v>
      </c>
      <c r="O250" s="191">
        <f t="shared" si="222"/>
        <v>16793</v>
      </c>
    </row>
    <row r="251" spans="1:15" s="234" customFormat="1" ht="36.75" customHeight="1" x14ac:dyDescent="0.2">
      <c r="A251" s="277" t="s">
        <v>455</v>
      </c>
      <c r="B251" s="278"/>
      <c r="C251" s="232">
        <v>12</v>
      </c>
      <c r="D251" s="232"/>
      <c r="E251" s="233"/>
      <c r="F251" s="166"/>
      <c r="G251" s="167">
        <f t="shared" ref="G251:O251" si="231">SUM(G239:G250)</f>
        <v>318179.25</v>
      </c>
      <c r="H251" s="167">
        <f t="shared" si="231"/>
        <v>0</v>
      </c>
      <c r="I251" s="167">
        <f t="shared" si="231"/>
        <v>318179.25</v>
      </c>
      <c r="J251" s="167">
        <f t="shared" si="231"/>
        <v>9131.7444749999995</v>
      </c>
      <c r="K251" s="167">
        <f t="shared" si="231"/>
        <v>442.64849999999967</v>
      </c>
      <c r="L251" s="167">
        <f t="shared" si="231"/>
        <v>9672.6491999999998</v>
      </c>
      <c r="M251" s="167">
        <f t="shared" si="231"/>
        <v>29919.66</v>
      </c>
      <c r="N251" s="167">
        <f t="shared" si="231"/>
        <v>49166.702175000006</v>
      </c>
      <c r="O251" s="167">
        <f t="shared" si="231"/>
        <v>269012.54782500002</v>
      </c>
    </row>
    <row r="252" spans="1:15" ht="36.75" customHeight="1" x14ac:dyDescent="0.2">
      <c r="A252" s="277" t="s">
        <v>592</v>
      </c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46"/>
    </row>
    <row r="253" spans="1:15" ht="36.75" customHeight="1" x14ac:dyDescent="0.2">
      <c r="A253" s="225">
        <v>203</v>
      </c>
      <c r="B253" s="99" t="s">
        <v>544</v>
      </c>
      <c r="C253" s="227" t="s">
        <v>284</v>
      </c>
      <c r="D253" s="227" t="s">
        <v>589</v>
      </c>
      <c r="E253" s="228" t="s">
        <v>280</v>
      </c>
      <c r="F253" s="228" t="s">
        <v>19</v>
      </c>
      <c r="G253" s="162">
        <v>150000</v>
      </c>
      <c r="H253" s="162">
        <v>0</v>
      </c>
      <c r="I253" s="162">
        <f t="shared" ref="I253:I255" si="232">SUM(G253:H253)</f>
        <v>150000</v>
      </c>
      <c r="J253" s="163">
        <f>IF(G253&gt;=Datos!$D$14,(Datos!$D$14*Datos!$C$14),IF(G253&lt;=Datos!$D$14,(G253*Datos!$C$14)))</f>
        <v>4305</v>
      </c>
      <c r="K253" s="164">
        <v>23866.62</v>
      </c>
      <c r="L253" s="163">
        <f>IF(G253&gt;=Datos!$D$15,(Datos!$D$15*Datos!$C$15),IF(G253&lt;=Datos!$D$15,(G253*Datos!$C$15)))</f>
        <v>4560</v>
      </c>
      <c r="M253" s="162">
        <v>25</v>
      </c>
      <c r="N253" s="162">
        <f t="shared" ref="N253" si="233">SUM(J253:M253)</f>
        <v>32756.62</v>
      </c>
      <c r="O253" s="191">
        <f t="shared" ref="O253" si="234">+G253-N253</f>
        <v>117243.38</v>
      </c>
    </row>
    <row r="254" spans="1:15" ht="36.75" customHeight="1" x14ac:dyDescent="0.2">
      <c r="A254" s="225">
        <v>204</v>
      </c>
      <c r="B254" s="227" t="s">
        <v>1016</v>
      </c>
      <c r="C254" s="227" t="s">
        <v>284</v>
      </c>
      <c r="D254" s="227" t="s">
        <v>506</v>
      </c>
      <c r="E254" s="228" t="s">
        <v>280</v>
      </c>
      <c r="F254" s="228" t="s">
        <v>19</v>
      </c>
      <c r="G254" s="162">
        <v>50000</v>
      </c>
      <c r="H254" s="162"/>
      <c r="I254" s="162">
        <f>SUM(G254:H254)</f>
        <v>50000</v>
      </c>
      <c r="J254" s="163">
        <f>IF(G254&gt;=Datos!$D$14,(Datos!$D$14*Datos!$C$14),IF(G254&lt;=Datos!$D$14,(G254*Datos!$C$14)))</f>
        <v>1435</v>
      </c>
      <c r="K254" s="164">
        <f>IF((G254-J254-L254)&lt;=Datos!$G$7,"0",IF((G254-J254-L254)&lt;=Datos!$G$8,((G254-J254-L254)-Datos!$F$8)*Datos!$I$6,IF((G254-J254-L254)&lt;=Datos!$G$9,Datos!$I$8+((G254-J254-L254)-Datos!$F$9)*Datos!$J$6,IF((G254-J254-L254)&gt;=Datos!$F$10,(Datos!$I$8+Datos!$J$8)+((G254-J254-L254)-Datos!$F$10)*Datos!$K$6))))</f>
        <v>1853.9984999999997</v>
      </c>
      <c r="L254" s="163">
        <f>IF(G254&gt;=Datos!$D$15,(Datos!$D$15*Datos!$C$15),IF(G254&lt;=Datos!$D$15,(G254*Datos!$C$15)))</f>
        <v>1520</v>
      </c>
      <c r="M254" s="162">
        <v>25</v>
      </c>
      <c r="N254" s="162">
        <f>SUM(J254:M254)</f>
        <v>4833.9984999999997</v>
      </c>
      <c r="O254" s="191">
        <f>+G254-N254</f>
        <v>45166.001499999998</v>
      </c>
    </row>
    <row r="255" spans="1:15" ht="36.75" customHeight="1" x14ac:dyDescent="0.2">
      <c r="A255" s="225">
        <v>205</v>
      </c>
      <c r="B255" s="227" t="s">
        <v>36</v>
      </c>
      <c r="C255" s="227" t="s">
        <v>284</v>
      </c>
      <c r="D255" s="227" t="s">
        <v>240</v>
      </c>
      <c r="E255" s="228" t="s">
        <v>280</v>
      </c>
      <c r="F255" s="228" t="s">
        <v>19</v>
      </c>
      <c r="G255" s="162">
        <v>65000</v>
      </c>
      <c r="H255" s="162">
        <v>0</v>
      </c>
      <c r="I255" s="162">
        <f t="shared" si="232"/>
        <v>65000</v>
      </c>
      <c r="J255" s="163">
        <f>IF(G255&gt;=Datos!$D$14,(Datos!$D$14*Datos!$C$14),IF(G255&lt;=Datos!$D$14,(G255*Datos!$C$14)))</f>
        <v>1865.5</v>
      </c>
      <c r="K255" s="164">
        <v>4084.48</v>
      </c>
      <c r="L255" s="163">
        <f>IF(G255&gt;=Datos!$D$15,(Datos!$D$15*Datos!$C$15),IF(G255&lt;=Datos!$D$15,(G255*Datos!$C$15)))</f>
        <v>1976</v>
      </c>
      <c r="M255" s="162">
        <v>1740.46</v>
      </c>
      <c r="N255" s="162">
        <f t="shared" ref="N255" si="235">SUM(J255:M255)</f>
        <v>9666.4399999999987</v>
      </c>
      <c r="O255" s="191">
        <f t="shared" ref="O255" si="236">+G255-N255</f>
        <v>55333.56</v>
      </c>
    </row>
    <row r="256" spans="1:15" s="234" customFormat="1" ht="36.75" customHeight="1" x14ac:dyDescent="0.2">
      <c r="A256" s="277" t="s">
        <v>455</v>
      </c>
      <c r="B256" s="278"/>
      <c r="C256" s="232">
        <v>3</v>
      </c>
      <c r="D256" s="232"/>
      <c r="E256" s="233"/>
      <c r="F256" s="166"/>
      <c r="G256" s="167">
        <f>SUM(G253:G255)</f>
        <v>265000</v>
      </c>
      <c r="H256" s="167">
        <f t="shared" ref="H256:O256" si="237">SUM(H253:H255)</f>
        <v>0</v>
      </c>
      <c r="I256" s="167">
        <f t="shared" si="237"/>
        <v>265000</v>
      </c>
      <c r="J256" s="167">
        <f t="shared" si="237"/>
        <v>7605.5</v>
      </c>
      <c r="K256" s="167">
        <f t="shared" si="237"/>
        <v>29805.098499999996</v>
      </c>
      <c r="L256" s="167">
        <f t="shared" si="237"/>
        <v>8056</v>
      </c>
      <c r="M256" s="167">
        <f t="shared" si="237"/>
        <v>1790.46</v>
      </c>
      <c r="N256" s="167">
        <f t="shared" si="237"/>
        <v>47257.058499999999</v>
      </c>
      <c r="O256" s="167">
        <f t="shared" si="237"/>
        <v>217742.94150000002</v>
      </c>
    </row>
    <row r="257" spans="1:15" ht="36.75" customHeight="1" x14ac:dyDescent="0.2">
      <c r="A257" s="277" t="s">
        <v>461</v>
      </c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46"/>
    </row>
    <row r="258" spans="1:15" ht="36.75" customHeight="1" x14ac:dyDescent="0.2">
      <c r="A258" s="225">
        <v>206</v>
      </c>
      <c r="B258" s="227" t="s">
        <v>191</v>
      </c>
      <c r="C258" s="227" t="s">
        <v>284</v>
      </c>
      <c r="D258" s="227" t="s">
        <v>316</v>
      </c>
      <c r="E258" s="228" t="s">
        <v>280</v>
      </c>
      <c r="F258" s="228" t="s">
        <v>19</v>
      </c>
      <c r="G258" s="162">
        <v>35000</v>
      </c>
      <c r="H258" s="162">
        <v>0</v>
      </c>
      <c r="I258" s="162">
        <f t="shared" ref="I258:I263" si="238">SUM(G258:H258)</f>
        <v>35000</v>
      </c>
      <c r="J258" s="163">
        <f>IF(G258&gt;=Datos!$D$14,(Datos!$D$14*Datos!$C$14),IF(G258&lt;=Datos!$D$14,(G258*Datos!$C$14)))</f>
        <v>1004.5</v>
      </c>
      <c r="K258" s="164" t="str">
        <f>IF((G258-J258-L258)&lt;=Datos!$G$7,"0",IF((G258-J258-L258)&lt;=Datos!$G$8,((G258-J258-L258)-Datos!$F$8)*Datos!$I$6,IF((G258-J258-L258)&lt;=Datos!$G$9,Datos!$I$8+((G258-J258-L258)-Datos!$F$9)*Datos!$J$6,IF((G258-J258-L258)&gt;=Datos!$F$10,(Datos!$I$8+Datos!$J$8)+((G258-J258-L258)-Datos!$F$10)*Datos!$K$6))))</f>
        <v>0</v>
      </c>
      <c r="L258" s="163">
        <f>IF(G258&gt;=Datos!$D$15,(Datos!$D$15*Datos!$C$15),IF(G258&lt;=Datos!$D$15,(G258*Datos!$C$15)))</f>
        <v>1064</v>
      </c>
      <c r="M258" s="162">
        <v>1025</v>
      </c>
      <c r="N258" s="138">
        <f t="shared" ref="N258" si="239">SUM(J258:M258)</f>
        <v>3093.5</v>
      </c>
      <c r="O258" s="191">
        <f t="shared" ref="O258" si="240">+G258-N258</f>
        <v>31906.5</v>
      </c>
    </row>
    <row r="259" spans="1:15" ht="36.75" customHeight="1" x14ac:dyDescent="0.2">
      <c r="A259" s="225">
        <v>207</v>
      </c>
      <c r="B259" s="227" t="s">
        <v>190</v>
      </c>
      <c r="C259" s="227" t="s">
        <v>284</v>
      </c>
      <c r="D259" s="227" t="s">
        <v>590</v>
      </c>
      <c r="E259" s="228" t="s">
        <v>280</v>
      </c>
      <c r="F259" s="228" t="s">
        <v>19</v>
      </c>
      <c r="G259" s="162">
        <v>50000</v>
      </c>
      <c r="H259" s="162">
        <v>0</v>
      </c>
      <c r="I259" s="162">
        <f t="shared" si="238"/>
        <v>50000</v>
      </c>
      <c r="J259" s="163">
        <f>IF(G259&gt;=Datos!$D$14,(Datos!$D$14*Datos!$C$14),IF(G259&lt;=Datos!$D$14,(G259*Datos!$C$14)))</f>
        <v>1435</v>
      </c>
      <c r="K259" s="164">
        <v>1339.36</v>
      </c>
      <c r="L259" s="163">
        <f>IF(G259&gt;=Datos!$D$15,(Datos!$D$15*Datos!$C$15),IF(G259&lt;=Datos!$D$15,(G259*Datos!$C$15)))</f>
        <v>1520</v>
      </c>
      <c r="M259" s="162">
        <v>3455.92</v>
      </c>
      <c r="N259" s="138">
        <f t="shared" ref="N259:N262" si="241">SUM(J259:M259)</f>
        <v>7750.28</v>
      </c>
      <c r="O259" s="191">
        <f t="shared" ref="O259:O262" si="242">+G259-N259</f>
        <v>42249.72</v>
      </c>
    </row>
    <row r="260" spans="1:15" ht="36.75" customHeight="1" x14ac:dyDescent="0.2">
      <c r="A260" s="225">
        <v>208</v>
      </c>
      <c r="B260" s="227" t="s">
        <v>150</v>
      </c>
      <c r="C260" s="227" t="s">
        <v>284</v>
      </c>
      <c r="D260" s="99" t="s">
        <v>591</v>
      </c>
      <c r="E260" s="228" t="s">
        <v>280</v>
      </c>
      <c r="F260" s="228" t="s">
        <v>19</v>
      </c>
      <c r="G260" s="162">
        <v>65000</v>
      </c>
      <c r="H260" s="162">
        <v>0</v>
      </c>
      <c r="I260" s="162">
        <f t="shared" si="238"/>
        <v>65000</v>
      </c>
      <c r="J260" s="163">
        <f>IF(G260&gt;=Datos!$D$14,(Datos!$D$14*Datos!$C$14),IF(G260&lt;=Datos!$D$14,(G260*Datos!$C$14)))</f>
        <v>1865.5</v>
      </c>
      <c r="K260" s="164">
        <f>IF((G260-J260-L260)&lt;=Datos!$G$7,"0",IF((G260-J260-L260)&lt;=Datos!$G$8,((G260-J260-L260)-Datos!$F$8)*Datos!$I$6,IF((G260-J260-L260)&lt;=Datos!$G$9,Datos!$I$8+((G260-J260-L260)-Datos!$F$9)*Datos!$J$6,IF((G260-J260-L260)&gt;=Datos!$F$10,(Datos!$I$8+Datos!$J$8)+((G260-J260-L260)-Datos!$F$10)*Datos!$K$6))))</f>
        <v>4427.5756666666657</v>
      </c>
      <c r="L260" s="163">
        <f>IF(G260&gt;=Datos!$D$15,(Datos!$D$15*Datos!$C$15),IF(G260&lt;=Datos!$D$15,(G260*Datos!$C$15)))</f>
        <v>1976</v>
      </c>
      <c r="M260" s="162">
        <v>25</v>
      </c>
      <c r="N260" s="138">
        <f t="shared" si="241"/>
        <v>8294.0756666666657</v>
      </c>
      <c r="O260" s="191">
        <f t="shared" si="242"/>
        <v>56705.924333333336</v>
      </c>
    </row>
    <row r="261" spans="1:15" ht="36.75" customHeight="1" x14ac:dyDescent="0.2">
      <c r="A261" s="225">
        <v>209</v>
      </c>
      <c r="B261" s="226" t="s">
        <v>410</v>
      </c>
      <c r="C261" s="227" t="s">
        <v>284</v>
      </c>
      <c r="D261" s="227" t="s">
        <v>590</v>
      </c>
      <c r="E261" s="228" t="s">
        <v>280</v>
      </c>
      <c r="F261" s="228" t="s">
        <v>19</v>
      </c>
      <c r="G261" s="162">
        <v>60000</v>
      </c>
      <c r="H261" s="162">
        <v>0</v>
      </c>
      <c r="I261" s="162">
        <f t="shared" si="238"/>
        <v>60000</v>
      </c>
      <c r="J261" s="163">
        <f>IF(G261&gt;=Datos!$D$14,(Datos!$D$14*Datos!$C$14),IF(G261&lt;=Datos!$D$14,(G261*Datos!$C$14)))</f>
        <v>1722</v>
      </c>
      <c r="K261" s="164">
        <f>IF((G261-J261-L261)&lt;=Datos!$G$7,"0",IF((G261-J261-L261)&lt;=Datos!$G$8,((G261-J261-L261)-Datos!$F$8)*Datos!$I$6,IF((G261-J261-L261)&lt;=Datos!$G$9,Datos!$I$8+((G261-J261-L261)-Datos!$F$9)*Datos!$J$6,IF((G261-J261-L261)&gt;=Datos!$F$10,(Datos!$I$8+Datos!$J$8)+((G261-J261-L261)-Datos!$F$10)*Datos!$K$6))))</f>
        <v>3486.6756666666661</v>
      </c>
      <c r="L261" s="163">
        <f>IF(G261&gt;=Datos!$D$15,(Datos!$D$15*Datos!$C$15),IF(G261&lt;=Datos!$D$15,(G261*Datos!$C$15)))</f>
        <v>1824</v>
      </c>
      <c r="M261" s="162">
        <v>25</v>
      </c>
      <c r="N261" s="138">
        <f t="shared" si="241"/>
        <v>7057.6756666666661</v>
      </c>
      <c r="O261" s="191">
        <f t="shared" si="242"/>
        <v>52942.324333333338</v>
      </c>
    </row>
    <row r="262" spans="1:15" ht="36.75" customHeight="1" x14ac:dyDescent="0.2">
      <c r="A262" s="225">
        <v>210</v>
      </c>
      <c r="B262" s="226" t="s">
        <v>408</v>
      </c>
      <c r="C262" s="227" t="s">
        <v>284</v>
      </c>
      <c r="D262" s="226" t="s">
        <v>590</v>
      </c>
      <c r="E262" s="228" t="s">
        <v>280</v>
      </c>
      <c r="F262" s="228" t="s">
        <v>19</v>
      </c>
      <c r="G262" s="138">
        <v>48510</v>
      </c>
      <c r="H262" s="162">
        <v>0</v>
      </c>
      <c r="I262" s="162">
        <f t="shared" si="238"/>
        <v>48510</v>
      </c>
      <c r="J262" s="163">
        <f>IF(G262&gt;=Datos!$D$14,(Datos!$D$14*Datos!$C$14),IF(G262&lt;=Datos!$D$14,(G262*Datos!$C$14)))</f>
        <v>1392.2370000000001</v>
      </c>
      <c r="K262" s="164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1643.7073499999999</v>
      </c>
      <c r="L262" s="163">
        <f>IF(G262&gt;=Datos!$D$15,(Datos!$D$15*Datos!$C$15),IF(G262&lt;=Datos!$D$15,(G262*Datos!$C$15)))</f>
        <v>1474.704</v>
      </c>
      <c r="M262" s="162">
        <v>25</v>
      </c>
      <c r="N262" s="138">
        <f t="shared" si="241"/>
        <v>4535.6483499999995</v>
      </c>
      <c r="O262" s="191">
        <f t="shared" si="242"/>
        <v>43974.351649999997</v>
      </c>
    </row>
    <row r="263" spans="1:15" ht="36.75" customHeight="1" x14ac:dyDescent="0.2">
      <c r="A263" s="225">
        <v>211</v>
      </c>
      <c r="B263" s="226" t="s">
        <v>177</v>
      </c>
      <c r="C263" s="227" t="s">
        <v>284</v>
      </c>
      <c r="D263" s="226" t="s">
        <v>590</v>
      </c>
      <c r="E263" s="228" t="s">
        <v>280</v>
      </c>
      <c r="F263" s="228" t="s">
        <v>19</v>
      </c>
      <c r="G263" s="138">
        <v>42446</v>
      </c>
      <c r="H263" s="162">
        <v>0</v>
      </c>
      <c r="I263" s="162">
        <f t="shared" si="238"/>
        <v>42446</v>
      </c>
      <c r="J263" s="163">
        <f>IF(G263&gt;=Datos!$D$14,(Datos!$D$14*Datos!$C$14),IF(G263&lt;=Datos!$D$14,(G263*Datos!$C$14)))</f>
        <v>1218.2002</v>
      </c>
      <c r="K263" s="164">
        <v>530.54999999999995</v>
      </c>
      <c r="L263" s="163">
        <f>IF(G263&gt;=Datos!$D$15,(Datos!$D$15*Datos!$C$15),IF(G263&lt;=Datos!$D$15,(G263*Datos!$C$15)))</f>
        <v>1290.3584000000001</v>
      </c>
      <c r="M263" s="162">
        <v>1740.46</v>
      </c>
      <c r="N263" s="138">
        <f t="shared" ref="N263" si="243">SUM(J263:M263)</f>
        <v>4779.5686000000005</v>
      </c>
      <c r="O263" s="191">
        <f t="shared" ref="O263" si="244">+G263-N263</f>
        <v>37666.431400000001</v>
      </c>
    </row>
    <row r="264" spans="1:15" s="234" customFormat="1" ht="36.75" customHeight="1" x14ac:dyDescent="0.2">
      <c r="A264" s="277" t="s">
        <v>455</v>
      </c>
      <c r="B264" s="278"/>
      <c r="C264" s="232">
        <v>6</v>
      </c>
      <c r="D264" s="232"/>
      <c r="E264" s="233"/>
      <c r="F264" s="166"/>
      <c r="G264" s="167">
        <f t="shared" ref="G264:O264" si="245">SUM(G258:G263)</f>
        <v>300956</v>
      </c>
      <c r="H264" s="167">
        <f t="shared" si="245"/>
        <v>0</v>
      </c>
      <c r="I264" s="167">
        <f t="shared" si="245"/>
        <v>300956</v>
      </c>
      <c r="J264" s="167">
        <f t="shared" si="245"/>
        <v>8637.4372000000003</v>
      </c>
      <c r="K264" s="167">
        <f t="shared" si="245"/>
        <v>11427.86868333333</v>
      </c>
      <c r="L264" s="167">
        <f t="shared" si="245"/>
        <v>9149.0623999999989</v>
      </c>
      <c r="M264" s="167">
        <f t="shared" si="245"/>
        <v>6296.38</v>
      </c>
      <c r="N264" s="167">
        <f t="shared" si="245"/>
        <v>35510.748283333327</v>
      </c>
      <c r="O264" s="167">
        <f t="shared" si="245"/>
        <v>265445.25171666662</v>
      </c>
    </row>
    <row r="265" spans="1:15" ht="36.75" customHeight="1" x14ac:dyDescent="0.2">
      <c r="A265" s="277" t="s">
        <v>593</v>
      </c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46"/>
    </row>
    <row r="266" spans="1:15" ht="36.75" customHeight="1" x14ac:dyDescent="0.2">
      <c r="A266" s="225">
        <v>212</v>
      </c>
      <c r="B266" s="227" t="s">
        <v>347</v>
      </c>
      <c r="C266" s="227" t="s">
        <v>286</v>
      </c>
      <c r="D266" s="227" t="s">
        <v>589</v>
      </c>
      <c r="E266" s="228" t="s">
        <v>280</v>
      </c>
      <c r="F266" s="228" t="s">
        <v>281</v>
      </c>
      <c r="G266" s="162">
        <v>170000</v>
      </c>
      <c r="H266" s="162">
        <v>0</v>
      </c>
      <c r="I266" s="162">
        <f t="shared" ref="I266:I267" si="246">SUM(G266:H266)</f>
        <v>170000</v>
      </c>
      <c r="J266" s="163">
        <f>IF(G266&gt;=Datos!$D$14,(Datos!$D$14*Datos!$C$14),IF(G266&lt;=Datos!$D$14,(G266*Datos!$C$14)))</f>
        <v>4879</v>
      </c>
      <c r="K266" s="164">
        <v>28571.119999999999</v>
      </c>
      <c r="L266" s="163">
        <v>5168</v>
      </c>
      <c r="M266" s="162">
        <v>5025</v>
      </c>
      <c r="N266" s="162">
        <f t="shared" ref="N266" si="247">SUM(J266:M266)</f>
        <v>43643.119999999995</v>
      </c>
      <c r="O266" s="191">
        <f t="shared" ref="O266:O286" si="248">+G266-N266</f>
        <v>126356.88</v>
      </c>
    </row>
    <row r="267" spans="1:15" ht="36.75" customHeight="1" x14ac:dyDescent="0.2">
      <c r="A267" s="225">
        <v>213</v>
      </c>
      <c r="B267" s="227" t="s">
        <v>594</v>
      </c>
      <c r="C267" s="227" t="s">
        <v>286</v>
      </c>
      <c r="D267" s="227" t="s">
        <v>243</v>
      </c>
      <c r="E267" s="228" t="s">
        <v>280</v>
      </c>
      <c r="F267" s="228" t="s">
        <v>19</v>
      </c>
      <c r="G267" s="162">
        <v>20000</v>
      </c>
      <c r="H267" s="162">
        <v>0</v>
      </c>
      <c r="I267" s="162">
        <f t="shared" si="246"/>
        <v>20000</v>
      </c>
      <c r="J267" s="163">
        <f>IF(G267&gt;=Datos!$D$14,(Datos!$D$14*Datos!$C$14),IF(G267&lt;=Datos!$D$14,(G267*Datos!$C$14)))</f>
        <v>574</v>
      </c>
      <c r="K267" s="164" t="str">
        <f>IF((G267-J267-L267)&lt;=Datos!$G$7,"0",IF((G267-J267-L267)&lt;=Datos!$G$8,((G267-J267-L267)-Datos!$F$8)*Datos!$I$6,IF((G267-J267-L267)&lt;=Datos!$G$9,Datos!$I$8+((G267-J267-L267)-Datos!$F$9)*Datos!$J$6,IF((G267-J267-L267)&gt;=Datos!$F$10,(Datos!$I$8+Datos!$J$8)+((G267-J267-L267)-Datos!$F$10)*Datos!$K$6))))</f>
        <v>0</v>
      </c>
      <c r="L267" s="163">
        <f>IF(G267&gt;=Datos!$D$15,(Datos!$D$15*Datos!$C$15),IF(G267&lt;=Datos!$D$15,(G267*Datos!$C$15)))</f>
        <v>608</v>
      </c>
      <c r="M267" s="162">
        <v>25</v>
      </c>
      <c r="N267" s="162">
        <f t="shared" ref="N267" si="249">SUM(J267:M267)</f>
        <v>1207</v>
      </c>
      <c r="O267" s="191">
        <f t="shared" ref="O267" si="250">+G267-N267</f>
        <v>18793</v>
      </c>
    </row>
    <row r="268" spans="1:15" s="234" customFormat="1" ht="36.75" customHeight="1" x14ac:dyDescent="0.2">
      <c r="A268" s="277" t="s">
        <v>455</v>
      </c>
      <c r="B268" s="278"/>
      <c r="C268" s="232">
        <v>2</v>
      </c>
      <c r="D268" s="232"/>
      <c r="E268" s="233"/>
      <c r="F268" s="166"/>
      <c r="G268" s="167">
        <f>SUM(G266:G267)</f>
        <v>190000</v>
      </c>
      <c r="H268" s="167">
        <f t="shared" ref="H268:O268" si="251">SUM(H266:H267)</f>
        <v>0</v>
      </c>
      <c r="I268" s="167">
        <f t="shared" si="251"/>
        <v>190000</v>
      </c>
      <c r="J268" s="167">
        <f t="shared" si="251"/>
        <v>5453</v>
      </c>
      <c r="K268" s="167">
        <f t="shared" si="251"/>
        <v>28571.119999999999</v>
      </c>
      <c r="L268" s="167">
        <f t="shared" si="251"/>
        <v>5776</v>
      </c>
      <c r="M268" s="167">
        <f t="shared" si="251"/>
        <v>5050</v>
      </c>
      <c r="N268" s="167">
        <f t="shared" si="251"/>
        <v>44850.119999999995</v>
      </c>
      <c r="O268" s="167">
        <f t="shared" si="251"/>
        <v>145149.88</v>
      </c>
    </row>
    <row r="269" spans="1:15" ht="36.75" customHeight="1" x14ac:dyDescent="0.2">
      <c r="A269" s="277" t="s">
        <v>462</v>
      </c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9"/>
    </row>
    <row r="270" spans="1:15" ht="36.75" customHeight="1" x14ac:dyDescent="0.2">
      <c r="A270" s="225">
        <v>214</v>
      </c>
      <c r="B270" s="247" t="s">
        <v>433</v>
      </c>
      <c r="C270" s="227" t="s">
        <v>286</v>
      </c>
      <c r="D270" s="137" t="s">
        <v>362</v>
      </c>
      <c r="E270" s="228" t="s">
        <v>280</v>
      </c>
      <c r="F270" s="228" t="s">
        <v>19</v>
      </c>
      <c r="G270" s="138">
        <v>38000</v>
      </c>
      <c r="H270" s="162">
        <v>0</v>
      </c>
      <c r="I270" s="138">
        <f t="shared" ref="I270:I273" si="252">SUM(G270:H270)</f>
        <v>38000</v>
      </c>
      <c r="J270" s="163">
        <v>1090.5999999999999</v>
      </c>
      <c r="K270" s="164">
        <v>160.38</v>
      </c>
      <c r="L270" s="163">
        <v>1155.2</v>
      </c>
      <c r="M270" s="162">
        <v>25</v>
      </c>
      <c r="N270" s="162">
        <f t="shared" ref="N270:N271" si="253">+J270+K270+L270+M270</f>
        <v>2431.1800000000003</v>
      </c>
      <c r="O270" s="191">
        <f t="shared" si="248"/>
        <v>35568.82</v>
      </c>
    </row>
    <row r="271" spans="1:15" ht="36.75" customHeight="1" x14ac:dyDescent="0.2">
      <c r="A271" s="225">
        <v>215</v>
      </c>
      <c r="B271" s="227" t="s">
        <v>103</v>
      </c>
      <c r="C271" s="227" t="s">
        <v>286</v>
      </c>
      <c r="D271" s="99" t="s">
        <v>1065</v>
      </c>
      <c r="E271" s="228" t="s">
        <v>280</v>
      </c>
      <c r="F271" s="228" t="s">
        <v>19</v>
      </c>
      <c r="G271" s="162">
        <v>70000</v>
      </c>
      <c r="H271" s="162">
        <v>0</v>
      </c>
      <c r="I271" s="138">
        <f t="shared" si="252"/>
        <v>70000</v>
      </c>
      <c r="J271" s="163">
        <f>IF(G271&gt;=Datos!$D$14,(Datos!$D$14*Datos!$C$14),IF(G271&lt;=Datos!$D$14,(G271*Datos!$C$14)))</f>
        <v>2009</v>
      </c>
      <c r="K271" s="164">
        <f>IF((G271-J271-L271)&lt;=Datos!$G$7,"0",IF((G271-J271-L271)&lt;=Datos!$G$8,((G271-J271-L271)-Datos!$F$8)*Datos!$I$6,IF((G271-J271-L271)&lt;=Datos!$G$9,Datos!$I$8+((G271-J271-L271)-Datos!$F$9)*Datos!$J$6,IF((G271-J271-L271)&gt;=Datos!$F$10,(Datos!$I$8+Datos!$J$8)+((G271-J271-L271)-Datos!$F$10)*Datos!$K$6))))</f>
        <v>5368.4756666666663</v>
      </c>
      <c r="L271" s="163">
        <f>IF(G271&gt;=Datos!$D$15,(Datos!$D$15*Datos!$C$15),IF(G271&lt;=Datos!$D$15,(G271*Datos!$C$15)))</f>
        <v>2128</v>
      </c>
      <c r="M271" s="162">
        <v>5092.71</v>
      </c>
      <c r="N271" s="162">
        <f t="shared" si="253"/>
        <v>14598.185666666664</v>
      </c>
      <c r="O271" s="191">
        <f t="shared" si="248"/>
        <v>55401.814333333336</v>
      </c>
    </row>
    <row r="272" spans="1:15" ht="36.75" customHeight="1" x14ac:dyDescent="0.2">
      <c r="A272" s="225">
        <v>216</v>
      </c>
      <c r="B272" s="227" t="s">
        <v>211</v>
      </c>
      <c r="C272" s="227" t="s">
        <v>286</v>
      </c>
      <c r="D272" s="227" t="s">
        <v>236</v>
      </c>
      <c r="E272" s="228" t="s">
        <v>280</v>
      </c>
      <c r="F272" s="228" t="s">
        <v>19</v>
      </c>
      <c r="G272" s="162">
        <v>37400</v>
      </c>
      <c r="H272" s="162">
        <v>0</v>
      </c>
      <c r="I272" s="138">
        <f t="shared" si="252"/>
        <v>37400</v>
      </c>
      <c r="J272" s="163">
        <f>IF(G272&gt;=Datos!$D$14,(Datos!$D$14*Datos!$C$14),IF(G272&lt;=Datos!$D$14,(G272*Datos!$C$14)))</f>
        <v>1073.3799999999999</v>
      </c>
      <c r="K272" s="164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75.697500000000218</v>
      </c>
      <c r="L272" s="163">
        <f>IF(G272&gt;=Datos!$D$15,(Datos!$D$15*Datos!$C$15),IF(G272&lt;=Datos!$D$15,(G272*Datos!$C$15)))</f>
        <v>1136.96</v>
      </c>
      <c r="M272" s="162">
        <v>25</v>
      </c>
      <c r="N272" s="162">
        <f t="shared" ref="N272" si="254">+J272+K272+L272+M272</f>
        <v>2311.0375000000004</v>
      </c>
      <c r="O272" s="191">
        <f t="shared" ref="O272" si="255">+G272-N272</f>
        <v>35088.962500000001</v>
      </c>
    </row>
    <row r="273" spans="1:16" ht="36.75" customHeight="1" x14ac:dyDescent="0.2">
      <c r="A273" s="225">
        <v>217</v>
      </c>
      <c r="B273" s="247" t="s">
        <v>432</v>
      </c>
      <c r="C273" s="227" t="s">
        <v>286</v>
      </c>
      <c r="D273" s="137" t="s">
        <v>362</v>
      </c>
      <c r="E273" s="228" t="s">
        <v>280</v>
      </c>
      <c r="F273" s="228" t="s">
        <v>19</v>
      </c>
      <c r="G273" s="162">
        <v>38000</v>
      </c>
      <c r="H273" s="162">
        <v>0</v>
      </c>
      <c r="I273" s="138">
        <f t="shared" si="252"/>
        <v>38000</v>
      </c>
      <c r="J273" s="163">
        <v>1090.5999999999999</v>
      </c>
      <c r="K273" s="164">
        <v>160.38</v>
      </c>
      <c r="L273" s="163">
        <v>1155.2</v>
      </c>
      <c r="M273" s="162">
        <v>25</v>
      </c>
      <c r="N273" s="162">
        <f>+J273+K273+L273+M273</f>
        <v>2431.1800000000003</v>
      </c>
      <c r="O273" s="191">
        <f t="shared" ref="O273" si="256">+G273-N273</f>
        <v>35568.82</v>
      </c>
    </row>
    <row r="274" spans="1:16" s="234" customFormat="1" ht="36.75" customHeight="1" x14ac:dyDescent="0.2">
      <c r="A274" s="277" t="s">
        <v>455</v>
      </c>
      <c r="B274" s="278"/>
      <c r="C274" s="232">
        <v>4</v>
      </c>
      <c r="D274" s="232"/>
      <c r="E274" s="233"/>
      <c r="F274" s="166"/>
      <c r="G274" s="167">
        <f t="shared" ref="G274:O274" si="257">SUM(G270:G273)</f>
        <v>183400</v>
      </c>
      <c r="H274" s="167">
        <f t="shared" si="257"/>
        <v>0</v>
      </c>
      <c r="I274" s="167">
        <f t="shared" si="257"/>
        <v>183400</v>
      </c>
      <c r="J274" s="167">
        <f t="shared" si="257"/>
        <v>5263.58</v>
      </c>
      <c r="K274" s="167">
        <f t="shared" si="257"/>
        <v>5764.9331666666667</v>
      </c>
      <c r="L274" s="167">
        <f t="shared" si="257"/>
        <v>5575.36</v>
      </c>
      <c r="M274" s="167">
        <f t="shared" si="257"/>
        <v>5167.71</v>
      </c>
      <c r="N274" s="167">
        <f t="shared" si="257"/>
        <v>21771.583166666664</v>
      </c>
      <c r="O274" s="167">
        <f t="shared" si="257"/>
        <v>161628.41683333335</v>
      </c>
    </row>
    <row r="275" spans="1:16" ht="36.75" customHeight="1" x14ac:dyDescent="0.2">
      <c r="A275" s="277" t="s">
        <v>595</v>
      </c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9"/>
    </row>
    <row r="276" spans="1:16" ht="36.75" customHeight="1" x14ac:dyDescent="0.2">
      <c r="A276" s="225">
        <v>218</v>
      </c>
      <c r="B276" s="226" t="s">
        <v>88</v>
      </c>
      <c r="C276" s="227" t="s">
        <v>285</v>
      </c>
      <c r="D276" s="226" t="s">
        <v>596</v>
      </c>
      <c r="E276" s="228" t="s">
        <v>280</v>
      </c>
      <c r="F276" s="228" t="s">
        <v>281</v>
      </c>
      <c r="G276" s="138">
        <v>170000</v>
      </c>
      <c r="H276" s="162">
        <v>0</v>
      </c>
      <c r="I276" s="138">
        <f t="shared" ref="I276:I277" si="258">SUM(G276:H276)</f>
        <v>170000</v>
      </c>
      <c r="J276" s="163">
        <f>IF(G276&gt;=Datos!$D$14,(Datos!$D$14*Datos!$C$14),IF(G276&lt;=Datos!$D$14,(G276*Datos!$C$14)))</f>
        <v>4879</v>
      </c>
      <c r="K276" s="164">
        <v>28142.25</v>
      </c>
      <c r="L276" s="163">
        <v>5168</v>
      </c>
      <c r="M276" s="162">
        <v>1740.46</v>
      </c>
      <c r="N276" s="162">
        <f t="shared" ref="N276" si="259">SUM(J276:M276)</f>
        <v>39929.71</v>
      </c>
      <c r="O276" s="191">
        <f t="shared" ref="O276" si="260">+G276-N276</f>
        <v>130070.29000000001</v>
      </c>
      <c r="P276" s="13"/>
    </row>
    <row r="277" spans="1:16" ht="36.75" customHeight="1" x14ac:dyDescent="0.2">
      <c r="A277" s="225">
        <v>219</v>
      </c>
      <c r="B277" s="226" t="s">
        <v>231</v>
      </c>
      <c r="C277" s="227" t="s">
        <v>285</v>
      </c>
      <c r="D277" s="226" t="s">
        <v>248</v>
      </c>
      <c r="E277" s="228" t="s">
        <v>280</v>
      </c>
      <c r="F277" s="228" t="s">
        <v>19</v>
      </c>
      <c r="G277" s="138">
        <v>35000</v>
      </c>
      <c r="H277" s="162">
        <v>0</v>
      </c>
      <c r="I277" s="138">
        <f t="shared" si="258"/>
        <v>35000</v>
      </c>
      <c r="J277" s="163">
        <f>IF(G277&gt;=Datos!$D$14,(Datos!$D$14*Datos!$C$14),IF(G277&lt;=Datos!$D$14,(G277*Datos!$C$14)))</f>
        <v>1004.5</v>
      </c>
      <c r="K277" s="164" t="str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0</v>
      </c>
      <c r="L277" s="163">
        <f>IF(G277&gt;=Datos!$D$15,(Datos!$D$15*Datos!$C$15),IF(G277&lt;=Datos!$D$15,(G277*Datos!$C$15)))</f>
        <v>1064</v>
      </c>
      <c r="M277" s="162">
        <v>25</v>
      </c>
      <c r="N277" s="162">
        <f t="shared" ref="N277" si="261">SUM(J277:M277)</f>
        <v>2093.5</v>
      </c>
      <c r="O277" s="191">
        <f t="shared" si="248"/>
        <v>32906.5</v>
      </c>
      <c r="P277" s="13"/>
    </row>
    <row r="278" spans="1:16" s="234" customFormat="1" ht="36.75" customHeight="1" x14ac:dyDescent="0.2">
      <c r="A278" s="277" t="s">
        <v>455</v>
      </c>
      <c r="B278" s="278"/>
      <c r="C278" s="232">
        <v>2</v>
      </c>
      <c r="D278" s="232"/>
      <c r="E278" s="233"/>
      <c r="F278" s="166"/>
      <c r="G278" s="167">
        <f t="shared" ref="G278:O278" si="262">SUM(G276:G277)</f>
        <v>205000</v>
      </c>
      <c r="H278" s="167">
        <f t="shared" si="262"/>
        <v>0</v>
      </c>
      <c r="I278" s="167">
        <f t="shared" si="262"/>
        <v>205000</v>
      </c>
      <c r="J278" s="167">
        <f t="shared" si="262"/>
        <v>5883.5</v>
      </c>
      <c r="K278" s="167">
        <f t="shared" si="262"/>
        <v>28142.25</v>
      </c>
      <c r="L278" s="167">
        <f t="shared" si="262"/>
        <v>6232</v>
      </c>
      <c r="M278" s="167">
        <f t="shared" si="262"/>
        <v>1765.46</v>
      </c>
      <c r="N278" s="167">
        <f t="shared" si="262"/>
        <v>42023.21</v>
      </c>
      <c r="O278" s="167">
        <f t="shared" si="262"/>
        <v>162976.79</v>
      </c>
    </row>
    <row r="279" spans="1:16" ht="36.75" customHeight="1" x14ac:dyDescent="0.2">
      <c r="A279" s="277" t="s">
        <v>464</v>
      </c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9"/>
    </row>
    <row r="280" spans="1:16" ht="36.75" customHeight="1" x14ac:dyDescent="0.2">
      <c r="A280" s="225">
        <v>220</v>
      </c>
      <c r="B280" s="227" t="s">
        <v>504</v>
      </c>
      <c r="C280" s="227" t="s">
        <v>285</v>
      </c>
      <c r="D280" s="227" t="s">
        <v>309</v>
      </c>
      <c r="E280" s="228" t="s">
        <v>280</v>
      </c>
      <c r="F280" s="228" t="s">
        <v>19</v>
      </c>
      <c r="G280" s="162">
        <v>26000</v>
      </c>
      <c r="H280" s="162">
        <v>0</v>
      </c>
      <c r="I280" s="162">
        <f t="shared" ref="I280:I282" si="263">SUM(G280:H280)</f>
        <v>26000</v>
      </c>
      <c r="J280" s="163">
        <f>IF(G280&gt;=Datos!$D$14,(Datos!$D$14*Datos!$C$14),IF(G280&lt;=Datos!$D$14,(G280*Datos!$C$14)))</f>
        <v>746.2</v>
      </c>
      <c r="K280" s="164" t="str">
        <f>IF((G280-J280-L280)&lt;=Datos!$G$7,"0",IF((G280-J280-L280)&lt;=Datos!$G$8,((G280-J280-L280)-Datos!$F$8)*Datos!$I$6,IF((G280-J280-L280)&lt;=Datos!$G$9,Datos!$I$8+((G280-J280-L280)-Datos!$F$9)*Datos!$J$6,IF((G280-J280-L280)&gt;=Datos!$F$10,(Datos!$I$8+Datos!$J$8)+((G280-J280-L280)-Datos!$F$10)*Datos!$K$6))))</f>
        <v>0</v>
      </c>
      <c r="L280" s="163">
        <f>IF(G280&gt;=Datos!$D$15,(Datos!$D$15*Datos!$C$15),IF(G280&lt;=Datos!$D$15,(G280*Datos!$C$15)))</f>
        <v>790.4</v>
      </c>
      <c r="M280" s="162">
        <v>25</v>
      </c>
      <c r="N280" s="162">
        <f t="shared" ref="N280:N281" si="264">SUM(J280:M280)</f>
        <v>1561.6</v>
      </c>
      <c r="O280" s="191">
        <f t="shared" ref="O280:O281" si="265">+G280-N280</f>
        <v>24438.400000000001</v>
      </c>
    </row>
    <row r="281" spans="1:16" ht="36.75" customHeight="1" x14ac:dyDescent="0.2">
      <c r="A281" s="225">
        <v>221</v>
      </c>
      <c r="B281" s="227" t="s">
        <v>119</v>
      </c>
      <c r="C281" s="227" t="s">
        <v>285</v>
      </c>
      <c r="D281" s="227" t="s">
        <v>590</v>
      </c>
      <c r="E281" s="228" t="s">
        <v>280</v>
      </c>
      <c r="F281" s="228" t="s">
        <v>281</v>
      </c>
      <c r="G281" s="162">
        <v>50000</v>
      </c>
      <c r="H281" s="162">
        <v>0</v>
      </c>
      <c r="I281" s="162">
        <f t="shared" si="263"/>
        <v>50000</v>
      </c>
      <c r="J281" s="163">
        <f>IF(G281&gt;=Datos!$D$14,(Datos!$D$14*Datos!$C$14),IF(G281&lt;=Datos!$D$14,(G281*Datos!$C$14)))</f>
        <v>1435</v>
      </c>
      <c r="K281" s="164">
        <v>1596.68</v>
      </c>
      <c r="L281" s="163">
        <f>IF(G281&gt;=Datos!$D$15,(Datos!$D$15*Datos!$C$15),IF(G281&lt;=Datos!$D$15,(G281*Datos!$C$15)))</f>
        <v>1520</v>
      </c>
      <c r="M281" s="162">
        <v>1740.46</v>
      </c>
      <c r="N281" s="162">
        <f t="shared" si="264"/>
        <v>6292.14</v>
      </c>
      <c r="O281" s="191">
        <f t="shared" si="265"/>
        <v>43707.86</v>
      </c>
    </row>
    <row r="282" spans="1:16" ht="36.75" customHeight="1" x14ac:dyDescent="0.2">
      <c r="A282" s="225">
        <v>222</v>
      </c>
      <c r="B282" s="227" t="s">
        <v>304</v>
      </c>
      <c r="C282" s="227" t="s">
        <v>285</v>
      </c>
      <c r="D282" s="227" t="s">
        <v>761</v>
      </c>
      <c r="E282" s="228" t="s">
        <v>280</v>
      </c>
      <c r="F282" s="228" t="s">
        <v>19</v>
      </c>
      <c r="G282" s="162">
        <v>35000</v>
      </c>
      <c r="H282" s="162">
        <v>0</v>
      </c>
      <c r="I282" s="162">
        <f t="shared" si="263"/>
        <v>35000</v>
      </c>
      <c r="J282" s="163">
        <f>IF(G282&gt;=Datos!$D$14,(Datos!$D$14*Datos!$C$14),IF(G282&lt;=Datos!$D$14,(G282*Datos!$C$14)))</f>
        <v>1004.5</v>
      </c>
      <c r="K282" s="164" t="str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0</v>
      </c>
      <c r="L282" s="163">
        <f>IF(G282&gt;=Datos!$D$15,(Datos!$D$15*Datos!$C$15),IF(G282&lt;=Datos!$D$15,(G282*Datos!$C$15)))</f>
        <v>1064</v>
      </c>
      <c r="M282" s="162">
        <v>25</v>
      </c>
      <c r="N282" s="162">
        <f t="shared" ref="N282" si="266">SUM(J282:M282)</f>
        <v>2093.5</v>
      </c>
      <c r="O282" s="191">
        <f t="shared" si="248"/>
        <v>32906.5</v>
      </c>
    </row>
    <row r="283" spans="1:16" s="234" customFormat="1" ht="36.75" customHeight="1" x14ac:dyDescent="0.2">
      <c r="A283" s="277" t="s">
        <v>455</v>
      </c>
      <c r="B283" s="278"/>
      <c r="C283" s="232">
        <v>3</v>
      </c>
      <c r="D283" s="232"/>
      <c r="E283" s="233"/>
      <c r="F283" s="166"/>
      <c r="G283" s="167">
        <f t="shared" ref="G283:O283" si="267">SUM(G280:G282)</f>
        <v>111000</v>
      </c>
      <c r="H283" s="167">
        <f t="shared" si="267"/>
        <v>0</v>
      </c>
      <c r="I283" s="167">
        <f t="shared" si="267"/>
        <v>111000</v>
      </c>
      <c r="J283" s="167">
        <f t="shared" si="267"/>
        <v>3185.7</v>
      </c>
      <c r="K283" s="167">
        <f t="shared" si="267"/>
        <v>1596.68</v>
      </c>
      <c r="L283" s="167">
        <f t="shared" si="267"/>
        <v>3374.4</v>
      </c>
      <c r="M283" s="167">
        <f t="shared" si="267"/>
        <v>1790.46</v>
      </c>
      <c r="N283" s="167">
        <f t="shared" si="267"/>
        <v>9947.24</v>
      </c>
      <c r="O283" s="167">
        <f t="shared" si="267"/>
        <v>101052.76000000001</v>
      </c>
    </row>
    <row r="284" spans="1:16" ht="36.75" customHeight="1" x14ac:dyDescent="0.2">
      <c r="A284" s="277" t="s">
        <v>598</v>
      </c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9"/>
    </row>
    <row r="285" spans="1:16" ht="36.75" customHeight="1" x14ac:dyDescent="0.2">
      <c r="A285" s="225">
        <v>223</v>
      </c>
      <c r="B285" s="227" t="s">
        <v>505</v>
      </c>
      <c r="C285" s="227" t="s">
        <v>332</v>
      </c>
      <c r="D285" s="227" t="s">
        <v>506</v>
      </c>
      <c r="E285" s="228" t="s">
        <v>280</v>
      </c>
      <c r="F285" s="228" t="s">
        <v>19</v>
      </c>
      <c r="G285" s="162">
        <v>50000</v>
      </c>
      <c r="H285" s="162">
        <v>0</v>
      </c>
      <c r="I285" s="162">
        <f t="shared" ref="I285:I286" si="268">SUM(G285:H285)</f>
        <v>50000</v>
      </c>
      <c r="J285" s="163">
        <f>IF(G285&gt;=Datos!$D$14,(Datos!$D$14*Datos!$C$14),IF(G285&lt;=Datos!$D$14,(G285*Datos!$C$14)))</f>
        <v>1435</v>
      </c>
      <c r="K285" s="164">
        <v>1854</v>
      </c>
      <c r="L285" s="163">
        <f>IF(G285&gt;=Datos!$D$15,(Datos!$D$15*Datos!$C$15),IF(G285&lt;=Datos!$D$15,(G285*Datos!$C$15)))</f>
        <v>1520</v>
      </c>
      <c r="M285" s="162">
        <v>25</v>
      </c>
      <c r="N285" s="162">
        <f t="shared" ref="N285:N286" si="269">SUM(J285:M285)</f>
        <v>4834</v>
      </c>
      <c r="O285" s="191">
        <f t="shared" si="248"/>
        <v>45166</v>
      </c>
    </row>
    <row r="286" spans="1:16" ht="36.75" customHeight="1" x14ac:dyDescent="0.2">
      <c r="A286" s="225">
        <v>224</v>
      </c>
      <c r="B286" s="227" t="s">
        <v>176</v>
      </c>
      <c r="C286" s="227" t="s">
        <v>332</v>
      </c>
      <c r="D286" s="227" t="s">
        <v>251</v>
      </c>
      <c r="E286" s="228" t="s">
        <v>280</v>
      </c>
      <c r="F286" s="228" t="s">
        <v>19</v>
      </c>
      <c r="G286" s="162">
        <v>170000</v>
      </c>
      <c r="H286" s="162">
        <v>0</v>
      </c>
      <c r="I286" s="162">
        <f t="shared" si="268"/>
        <v>170000</v>
      </c>
      <c r="J286" s="163">
        <f>IF(G286&gt;=Datos!$D$14,(Datos!$D$14*Datos!$C$14),IF(G286&lt;=Datos!$D$14,(G286*Datos!$C$14)))</f>
        <v>4879</v>
      </c>
      <c r="K286" s="164">
        <v>28571.119999999999</v>
      </c>
      <c r="L286" s="163">
        <v>5168</v>
      </c>
      <c r="M286" s="162">
        <v>25</v>
      </c>
      <c r="N286" s="162">
        <f t="shared" si="269"/>
        <v>38643.119999999995</v>
      </c>
      <c r="O286" s="191">
        <f t="shared" si="248"/>
        <v>131356.88</v>
      </c>
    </row>
    <row r="287" spans="1:16" s="234" customFormat="1" ht="36.75" customHeight="1" x14ac:dyDescent="0.2">
      <c r="A287" s="277" t="s">
        <v>455</v>
      </c>
      <c r="B287" s="278"/>
      <c r="C287" s="232">
        <v>2</v>
      </c>
      <c r="D287" s="232"/>
      <c r="E287" s="233"/>
      <c r="F287" s="166"/>
      <c r="G287" s="167">
        <f t="shared" ref="G287:O287" si="270">SUM(G285:G286)</f>
        <v>220000</v>
      </c>
      <c r="H287" s="167">
        <f t="shared" si="270"/>
        <v>0</v>
      </c>
      <c r="I287" s="167">
        <f t="shared" si="270"/>
        <v>220000</v>
      </c>
      <c r="J287" s="167">
        <f t="shared" si="270"/>
        <v>6314</v>
      </c>
      <c r="K287" s="167">
        <f t="shared" si="270"/>
        <v>30425.119999999999</v>
      </c>
      <c r="L287" s="167">
        <f t="shared" si="270"/>
        <v>6688</v>
      </c>
      <c r="M287" s="167">
        <f t="shared" si="270"/>
        <v>50</v>
      </c>
      <c r="N287" s="167">
        <f t="shared" si="270"/>
        <v>43477.119999999995</v>
      </c>
      <c r="O287" s="167">
        <f t="shared" si="270"/>
        <v>176522.88</v>
      </c>
    </row>
    <row r="288" spans="1:16" ht="36.75" customHeight="1" x14ac:dyDescent="0.2">
      <c r="A288" s="277" t="s">
        <v>466</v>
      </c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46"/>
    </row>
    <row r="289" spans="1:15" ht="36.75" customHeight="1" x14ac:dyDescent="0.2">
      <c r="A289" s="225">
        <v>225</v>
      </c>
      <c r="B289" s="227" t="s">
        <v>599</v>
      </c>
      <c r="C289" s="227" t="s">
        <v>332</v>
      </c>
      <c r="D289" s="227" t="s">
        <v>590</v>
      </c>
      <c r="E289" s="228" t="s">
        <v>280</v>
      </c>
      <c r="F289" s="228" t="s">
        <v>19</v>
      </c>
      <c r="G289" s="162">
        <v>50000</v>
      </c>
      <c r="H289" s="162">
        <v>0</v>
      </c>
      <c r="I289" s="162">
        <f t="shared" ref="I289:I290" si="271">SUM(G289:H289)</f>
        <v>50000</v>
      </c>
      <c r="J289" s="163">
        <f>IF(G289&gt;=Datos!$D$14,(Datos!$D$14*Datos!$C$14),IF(G289&lt;=Datos!$D$14,(G289*Datos!$C$14)))</f>
        <v>1435</v>
      </c>
      <c r="K289" s="164">
        <v>1596.68</v>
      </c>
      <c r="L289" s="163">
        <f>IF(G289&gt;=Datos!$D$15,(Datos!$D$15*Datos!$C$15),IF(G289&lt;=Datos!$D$15,(G289*Datos!$C$15)))</f>
        <v>1520</v>
      </c>
      <c r="M289" s="162">
        <v>1740.46</v>
      </c>
      <c r="N289" s="162">
        <f t="shared" ref="N289" si="272">SUM(J289:M289)</f>
        <v>6292.14</v>
      </c>
      <c r="O289" s="191">
        <f t="shared" ref="O289" si="273">+G289-N289</f>
        <v>43707.86</v>
      </c>
    </row>
    <row r="290" spans="1:15" ht="36.75" customHeight="1" x14ac:dyDescent="0.2">
      <c r="A290" s="225">
        <v>226</v>
      </c>
      <c r="B290" s="227" t="s">
        <v>300</v>
      </c>
      <c r="C290" s="227" t="s">
        <v>332</v>
      </c>
      <c r="D290" s="227" t="s">
        <v>761</v>
      </c>
      <c r="E290" s="228" t="s">
        <v>280</v>
      </c>
      <c r="F290" s="228" t="s">
        <v>19</v>
      </c>
      <c r="G290" s="162">
        <v>26000</v>
      </c>
      <c r="H290" s="162">
        <v>0</v>
      </c>
      <c r="I290" s="162">
        <f t="shared" si="271"/>
        <v>26000</v>
      </c>
      <c r="J290" s="163">
        <f>IF(G290&gt;=Datos!$D$14,(Datos!$D$14*Datos!$C$14),IF(G290&lt;=Datos!$D$14,(G290*Datos!$C$14)))</f>
        <v>746.2</v>
      </c>
      <c r="K290" s="164" t="str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0</v>
      </c>
      <c r="L290" s="163">
        <f>IF(G290&gt;=Datos!$D$15,(Datos!$D$15*Datos!$C$15),IF(G290&lt;=Datos!$D$15,(G290*Datos!$C$15)))</f>
        <v>790.4</v>
      </c>
      <c r="M290" s="162">
        <v>25</v>
      </c>
      <c r="N290" s="162">
        <f>SUM(J290:M290)</f>
        <v>1561.6</v>
      </c>
      <c r="O290" s="191">
        <f>+G290-N290</f>
        <v>24438.400000000001</v>
      </c>
    </row>
    <row r="291" spans="1:15" s="234" customFormat="1" ht="36.75" customHeight="1" x14ac:dyDescent="0.2">
      <c r="A291" s="277" t="s">
        <v>455</v>
      </c>
      <c r="B291" s="278"/>
      <c r="C291" s="232">
        <v>2</v>
      </c>
      <c r="D291" s="232"/>
      <c r="E291" s="233"/>
      <c r="F291" s="166"/>
      <c r="G291" s="167">
        <f t="shared" ref="G291:O291" si="274">SUM(G289:G290)</f>
        <v>76000</v>
      </c>
      <c r="H291" s="167">
        <f t="shared" si="274"/>
        <v>0</v>
      </c>
      <c r="I291" s="167">
        <f t="shared" si="274"/>
        <v>76000</v>
      </c>
      <c r="J291" s="167">
        <f t="shared" si="274"/>
        <v>2181.1999999999998</v>
      </c>
      <c r="K291" s="167">
        <f t="shared" si="274"/>
        <v>1596.68</v>
      </c>
      <c r="L291" s="167">
        <f t="shared" si="274"/>
        <v>2310.4</v>
      </c>
      <c r="M291" s="167">
        <f t="shared" si="274"/>
        <v>1765.46</v>
      </c>
      <c r="N291" s="167">
        <f t="shared" si="274"/>
        <v>7853.74</v>
      </c>
      <c r="O291" s="167">
        <f t="shared" si="274"/>
        <v>68146.260000000009</v>
      </c>
    </row>
    <row r="292" spans="1:15" ht="36.75" customHeight="1" x14ac:dyDescent="0.2">
      <c r="A292" s="277" t="s">
        <v>1046</v>
      </c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46"/>
    </row>
    <row r="293" spans="1:15" ht="36.75" customHeight="1" x14ac:dyDescent="0.2">
      <c r="A293" s="225">
        <v>227</v>
      </c>
      <c r="B293" s="227" t="s">
        <v>411</v>
      </c>
      <c r="C293" s="227" t="s">
        <v>284</v>
      </c>
      <c r="D293" s="99" t="s">
        <v>1070</v>
      </c>
      <c r="E293" s="228" t="s">
        <v>280</v>
      </c>
      <c r="F293" s="228" t="s">
        <v>281</v>
      </c>
      <c r="G293" s="162">
        <f>78672.3+56327.7</f>
        <v>135000</v>
      </c>
      <c r="H293" s="162">
        <v>0</v>
      </c>
      <c r="I293" s="162">
        <f t="shared" ref="I293" si="275">SUM(G293:H293)</f>
        <v>135000</v>
      </c>
      <c r="J293" s="163">
        <f>IF(G293&gt;=Datos!$D$14,(Datos!$D$14*Datos!$C$14),IF(G293&lt;=Datos!$D$14,(G293*Datos!$C$14)))</f>
        <v>3874.5</v>
      </c>
      <c r="K293" s="164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20338.235666666667</v>
      </c>
      <c r="L293" s="163">
        <f>IF(G293&gt;=Datos!$D$15,(Datos!$D$15*Datos!$C$15),IF(G293&lt;=Datos!$D$15,(G293*Datos!$C$15)))</f>
        <v>4104</v>
      </c>
      <c r="M293" s="162">
        <v>25</v>
      </c>
      <c r="N293" s="162">
        <f t="shared" ref="N293" si="276">SUM(J293:M293)</f>
        <v>28341.735666666667</v>
      </c>
      <c r="O293" s="191">
        <f t="shared" ref="O293" si="277">+G293-N293</f>
        <v>106658.26433333333</v>
      </c>
    </row>
    <row r="294" spans="1:15" s="234" customFormat="1" ht="36.75" customHeight="1" x14ac:dyDescent="0.2">
      <c r="A294" s="277" t="s">
        <v>455</v>
      </c>
      <c r="B294" s="278"/>
      <c r="C294" s="232">
        <v>1</v>
      </c>
      <c r="D294" s="232"/>
      <c r="E294" s="233"/>
      <c r="F294" s="166"/>
      <c r="G294" s="167">
        <f t="shared" ref="G294:O294" si="278">SUM(G293:G293)</f>
        <v>135000</v>
      </c>
      <c r="H294" s="167">
        <f t="shared" si="278"/>
        <v>0</v>
      </c>
      <c r="I294" s="167">
        <f t="shared" si="278"/>
        <v>135000</v>
      </c>
      <c r="J294" s="167">
        <f t="shared" si="278"/>
        <v>3874.5</v>
      </c>
      <c r="K294" s="167">
        <f t="shared" si="278"/>
        <v>20338.235666666667</v>
      </c>
      <c r="L294" s="167">
        <f t="shared" si="278"/>
        <v>4104</v>
      </c>
      <c r="M294" s="167">
        <f t="shared" si="278"/>
        <v>25</v>
      </c>
      <c r="N294" s="167">
        <f t="shared" si="278"/>
        <v>28341.735666666667</v>
      </c>
      <c r="O294" s="167">
        <f t="shared" si="278"/>
        <v>106658.26433333333</v>
      </c>
    </row>
    <row r="295" spans="1:15" ht="36.75" customHeight="1" x14ac:dyDescent="0.2">
      <c r="A295" s="277" t="s">
        <v>508</v>
      </c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46"/>
    </row>
    <row r="296" spans="1:15" ht="36.75" customHeight="1" x14ac:dyDescent="0.2">
      <c r="A296" s="225">
        <v>228</v>
      </c>
      <c r="B296" s="227" t="s">
        <v>675</v>
      </c>
      <c r="C296" s="227" t="s">
        <v>284</v>
      </c>
      <c r="D296" s="227" t="s">
        <v>237</v>
      </c>
      <c r="E296" s="228" t="s">
        <v>280</v>
      </c>
      <c r="F296" s="228" t="s">
        <v>281</v>
      </c>
      <c r="G296" s="162">
        <v>72600</v>
      </c>
      <c r="H296" s="162">
        <v>0</v>
      </c>
      <c r="I296" s="162">
        <f t="shared" ref="I296:I310" si="279">SUM(G296:H296)</f>
        <v>72600</v>
      </c>
      <c r="J296" s="163">
        <f>IF(G296&gt;=Datos!$D$14,(Datos!$D$14*Datos!$C$14),IF(G296&lt;=Datos!$D$14,(G296*Datos!$C$14)))</f>
        <v>2083.62</v>
      </c>
      <c r="K296" s="164">
        <v>5171.5600000000004</v>
      </c>
      <c r="L296" s="163">
        <f>IF(G296&gt;=Datos!$D$15,(Datos!$D$15*Datos!$C$15),IF(G296&lt;=Datos!$D$15,(G296*Datos!$C$15)))</f>
        <v>2207.04</v>
      </c>
      <c r="M296" s="162">
        <v>3455.92</v>
      </c>
      <c r="N296" s="162">
        <f t="shared" ref="N296" si="280">SUM(J296:M296)</f>
        <v>12918.140000000001</v>
      </c>
      <c r="O296" s="191">
        <f t="shared" ref="O296" si="281">+G296-N296</f>
        <v>59681.86</v>
      </c>
    </row>
    <row r="297" spans="1:15" ht="36.75" customHeight="1" x14ac:dyDescent="0.2">
      <c r="A297" s="225">
        <v>229</v>
      </c>
      <c r="B297" s="227" t="s">
        <v>1033</v>
      </c>
      <c r="C297" s="227" t="s">
        <v>284</v>
      </c>
      <c r="D297" s="227" t="s">
        <v>237</v>
      </c>
      <c r="E297" s="228" t="s">
        <v>280</v>
      </c>
      <c r="F297" s="228" t="s">
        <v>19</v>
      </c>
      <c r="G297" s="162">
        <v>60000</v>
      </c>
      <c r="H297" s="162">
        <v>0</v>
      </c>
      <c r="I297" s="162">
        <f t="shared" ref="I297:I306" si="282">SUM(G297:H297)</f>
        <v>60000</v>
      </c>
      <c r="J297" s="163">
        <f>IF(G297&gt;=Datos!$D$14,(Datos!$D$14*Datos!$C$14),IF(G297&lt;=Datos!$D$14,(G297*Datos!$C$14)))</f>
        <v>1722</v>
      </c>
      <c r="K297" s="164">
        <f>IF((G297-J297-L297)&lt;=Datos!$G$7,"0",IF((G297-J297-L297)&lt;=Datos!$G$8,((G297-J297-L297)-Datos!$F$8)*Datos!$I$6,IF((G297-J297-L297)&lt;=Datos!$G$9,Datos!$I$8+((G297-J297-L297)-Datos!$F$9)*Datos!$J$6,IF((G297-J297-L297)&gt;=Datos!$F$10,(Datos!$I$8+Datos!$J$8)+((G297-J297-L297)-Datos!$F$10)*Datos!$K$6))))</f>
        <v>3486.6756666666661</v>
      </c>
      <c r="L297" s="163">
        <f>IF(G297&gt;=Datos!$D$15,(Datos!$D$15*Datos!$C$15),IF(G297&lt;=Datos!$D$15,(G297*Datos!$C$15)))</f>
        <v>1824</v>
      </c>
      <c r="M297" s="162">
        <v>25</v>
      </c>
      <c r="N297" s="162">
        <f t="shared" ref="N297:N306" si="283">SUM(J297:M297)</f>
        <v>7057.6756666666661</v>
      </c>
      <c r="O297" s="191">
        <f t="shared" ref="O297:O306" si="284">+G297-N297</f>
        <v>52942.324333333338</v>
      </c>
    </row>
    <row r="298" spans="1:15" ht="36.75" customHeight="1" x14ac:dyDescent="0.2">
      <c r="A298" s="225">
        <v>230</v>
      </c>
      <c r="B298" s="227" t="s">
        <v>1034</v>
      </c>
      <c r="C298" s="227" t="s">
        <v>284</v>
      </c>
      <c r="D298" s="227" t="s">
        <v>238</v>
      </c>
      <c r="E298" s="228" t="s">
        <v>280</v>
      </c>
      <c r="F298" s="228" t="s">
        <v>19</v>
      </c>
      <c r="G298" s="162">
        <v>68250</v>
      </c>
      <c r="H298" s="162">
        <v>0</v>
      </c>
      <c r="I298" s="162">
        <f t="shared" si="282"/>
        <v>68250</v>
      </c>
      <c r="J298" s="163">
        <f>IF(G298&gt;=Datos!$D$14,(Datos!$D$14*Datos!$C$14),IF(G298&lt;=Datos!$D$14,(G298*Datos!$C$14)))</f>
        <v>1958.7750000000001</v>
      </c>
      <c r="K298" s="164">
        <f>IF((G298-J298-L298)&lt;=Datos!$G$7,"0",IF((G298-J298-L298)&lt;=Datos!$G$8,((G298-J298-L298)-Datos!$F$8)*Datos!$I$6,IF((G298-J298-L298)&lt;=Datos!$G$9,Datos!$I$8+((G298-J298-L298)-Datos!$F$9)*Datos!$J$6,IF((G298-J298-L298)&gt;=Datos!$F$10,(Datos!$I$8+Datos!$J$8)+((G298-J298-L298)-Datos!$F$10)*Datos!$K$6))))</f>
        <v>5039.1606666666667</v>
      </c>
      <c r="L298" s="163">
        <f>IF(G298&gt;=Datos!$D$15,(Datos!$D$15*Datos!$C$15),IF(G298&lt;=Datos!$D$15,(G298*Datos!$C$15)))</f>
        <v>2074.8000000000002</v>
      </c>
      <c r="M298" s="162">
        <v>25</v>
      </c>
      <c r="N298" s="162">
        <f t="shared" si="283"/>
        <v>9097.7356666666674</v>
      </c>
      <c r="O298" s="191">
        <f t="shared" si="284"/>
        <v>59152.264333333333</v>
      </c>
    </row>
    <row r="299" spans="1:15" ht="36.75" customHeight="1" x14ac:dyDescent="0.2">
      <c r="A299" s="225">
        <v>231</v>
      </c>
      <c r="B299" s="227" t="s">
        <v>287</v>
      </c>
      <c r="C299" s="227" t="s">
        <v>284</v>
      </c>
      <c r="D299" s="227" t="s">
        <v>245</v>
      </c>
      <c r="E299" s="228" t="s">
        <v>280</v>
      </c>
      <c r="F299" s="228" t="s">
        <v>19</v>
      </c>
      <c r="G299" s="162">
        <v>40440.660000000003</v>
      </c>
      <c r="H299" s="162">
        <v>0</v>
      </c>
      <c r="I299" s="162">
        <f t="shared" si="282"/>
        <v>40440.660000000003</v>
      </c>
      <c r="J299" s="163">
        <f>IF(G299&gt;=Datos!$D$14,(Datos!$D$14*Datos!$C$14),IF(G299&lt;=Datos!$D$14,(G299*Datos!$C$14)))</f>
        <v>1160.6469420000001</v>
      </c>
      <c r="K299" s="164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504.84104910000019</v>
      </c>
      <c r="L299" s="163">
        <f>IF(G299&gt;=Datos!$D$15,(Datos!$D$15*Datos!$C$15),IF(G299&lt;=Datos!$D$15,(G299*Datos!$C$15)))</f>
        <v>1229.396064</v>
      </c>
      <c r="M299" s="162">
        <v>25</v>
      </c>
      <c r="N299" s="162">
        <f t="shared" si="283"/>
        <v>2919.8840551000003</v>
      </c>
      <c r="O299" s="191">
        <f t="shared" si="284"/>
        <v>37520.7759449</v>
      </c>
    </row>
    <row r="300" spans="1:15" ht="36.75" customHeight="1" x14ac:dyDescent="0.2">
      <c r="A300" s="225">
        <v>232</v>
      </c>
      <c r="B300" s="227" t="s">
        <v>83</v>
      </c>
      <c r="C300" s="227" t="s">
        <v>284</v>
      </c>
      <c r="D300" s="227" t="s">
        <v>254</v>
      </c>
      <c r="E300" s="228" t="s">
        <v>280</v>
      </c>
      <c r="F300" s="228" t="s">
        <v>19</v>
      </c>
      <c r="G300" s="162">
        <v>35000</v>
      </c>
      <c r="H300" s="162">
        <v>0</v>
      </c>
      <c r="I300" s="162">
        <f t="shared" si="282"/>
        <v>35000</v>
      </c>
      <c r="J300" s="163">
        <f>IF(G300&gt;=Datos!$D$14,(Datos!$D$14*Datos!$C$14),IF(G300&lt;=Datos!$D$14,(G300*Datos!$C$14)))</f>
        <v>1004.5</v>
      </c>
      <c r="K300" s="164" t="str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0</v>
      </c>
      <c r="L300" s="163">
        <f>IF(G300&gt;=Datos!$D$15,(Datos!$D$15*Datos!$C$15),IF(G300&lt;=Datos!$D$15,(G300*Datos!$C$15)))</f>
        <v>1064</v>
      </c>
      <c r="M300" s="162">
        <v>25</v>
      </c>
      <c r="N300" s="162">
        <f t="shared" si="283"/>
        <v>2093.5</v>
      </c>
      <c r="O300" s="191">
        <f t="shared" si="284"/>
        <v>32906.5</v>
      </c>
    </row>
    <row r="301" spans="1:15" ht="36.75" customHeight="1" x14ac:dyDescent="0.2">
      <c r="A301" s="225">
        <v>233</v>
      </c>
      <c r="B301" s="227" t="s">
        <v>220</v>
      </c>
      <c r="C301" s="227" t="s">
        <v>284</v>
      </c>
      <c r="D301" s="227" t="s">
        <v>238</v>
      </c>
      <c r="E301" s="228" t="s">
        <v>280</v>
      </c>
      <c r="F301" s="228" t="s">
        <v>19</v>
      </c>
      <c r="G301" s="162">
        <v>85844.9</v>
      </c>
      <c r="H301" s="162">
        <v>0</v>
      </c>
      <c r="I301" s="162">
        <f t="shared" ref="I301" si="285">SUM(G301:H301)</f>
        <v>85844.9</v>
      </c>
      <c r="J301" s="163">
        <f>IF(G301&gt;=Datos!$D$14,(Datos!$D$14*Datos!$C$14),IF(G301&lt;=Datos!$D$14,(G301*Datos!$C$14)))</f>
        <v>2463.7486299999996</v>
      </c>
      <c r="K301" s="164">
        <f>IF((G301-J301-L301)&lt;=Datos!$G$7,"0",IF((G301-J301-L301)&lt;=Datos!$G$8,((G301-J301-L301)-Datos!$F$8)*Datos!$I$6,IF((G301-J301-L301)&lt;=Datos!$G$9,Datos!$I$8+((G301-J301-L301)-Datos!$F$9)*Datos!$J$6,IF((G301-J301-L301)&gt;=Datos!$F$10,(Datos!$I$8+Datos!$J$8)+((G301-J301-L301)-Datos!$F$10)*Datos!$K$6))))</f>
        <v>8775.7272691666658</v>
      </c>
      <c r="L301" s="163">
        <f>IF(G301&gt;=Datos!$D$15,(Datos!$D$15*Datos!$C$15),IF(G301&lt;=Datos!$D$15,(G301*Datos!$C$15)))</f>
        <v>2609.6849599999996</v>
      </c>
      <c r="M301" s="162">
        <v>25</v>
      </c>
      <c r="N301" s="162">
        <f t="shared" ref="N301" si="286">SUM(J301:M301)</f>
        <v>13874.160859166666</v>
      </c>
      <c r="O301" s="191">
        <f t="shared" ref="O301" si="287">+G301-N301</f>
        <v>71970.739140833321</v>
      </c>
    </row>
    <row r="302" spans="1:15" ht="36.75" customHeight="1" x14ac:dyDescent="0.2">
      <c r="A302" s="225">
        <v>234</v>
      </c>
      <c r="B302" s="227" t="s">
        <v>218</v>
      </c>
      <c r="C302" s="227" t="s">
        <v>284</v>
      </c>
      <c r="D302" s="227" t="s">
        <v>620</v>
      </c>
      <c r="E302" s="228" t="s">
        <v>280</v>
      </c>
      <c r="F302" s="228" t="s">
        <v>19</v>
      </c>
      <c r="G302" s="162">
        <v>80000</v>
      </c>
      <c r="H302" s="162">
        <v>0</v>
      </c>
      <c r="I302" s="162">
        <f t="shared" ref="I302" si="288">SUM(G302:H302)</f>
        <v>80000</v>
      </c>
      <c r="J302" s="163">
        <f>IF(G302&gt;=Datos!$D$14,(Datos!$D$14*Datos!$C$14),IF(G302&lt;=Datos!$D$14,(G302*Datos!$C$14)))</f>
        <v>2296</v>
      </c>
      <c r="K302" s="164">
        <v>6972</v>
      </c>
      <c r="L302" s="163">
        <f>IF(G302&gt;=Datos!$D$15,(Datos!$D$15*Datos!$C$15),IF(G302&lt;=Datos!$D$15,(G302*Datos!$C$15)))</f>
        <v>2432</v>
      </c>
      <c r="M302" s="162">
        <v>1740.46</v>
      </c>
      <c r="N302" s="162">
        <f t="shared" ref="N302" si="289">SUM(J302:M302)</f>
        <v>13440.46</v>
      </c>
      <c r="O302" s="191">
        <f t="shared" ref="O302" si="290">+G302-N302</f>
        <v>66559.540000000008</v>
      </c>
    </row>
    <row r="303" spans="1:15" ht="36.75" customHeight="1" x14ac:dyDescent="0.2">
      <c r="A303" s="225">
        <v>235</v>
      </c>
      <c r="B303" s="227" t="s">
        <v>823</v>
      </c>
      <c r="C303" s="227" t="s">
        <v>284</v>
      </c>
      <c r="D303" s="227" t="s">
        <v>242</v>
      </c>
      <c r="E303" s="228" t="s">
        <v>280</v>
      </c>
      <c r="F303" s="228" t="s">
        <v>19</v>
      </c>
      <c r="G303" s="162">
        <v>72600</v>
      </c>
      <c r="H303" s="162">
        <v>0</v>
      </c>
      <c r="I303" s="162">
        <f t="shared" si="282"/>
        <v>72600</v>
      </c>
      <c r="J303" s="163">
        <f>IF(G303&gt;=Datos!$D$14,(Datos!$D$14*Datos!$C$14),IF(G303&lt;=Datos!$D$14,(G303*Datos!$C$14)))</f>
        <v>2083.62</v>
      </c>
      <c r="K303" s="164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5857.743666666669</v>
      </c>
      <c r="L303" s="163">
        <f>IF(G303&gt;=Datos!$D$15,(Datos!$D$15*Datos!$C$15),IF(G303&lt;=Datos!$D$15,(G303*Datos!$C$15)))</f>
        <v>2207.04</v>
      </c>
      <c r="M303" s="162">
        <v>25</v>
      </c>
      <c r="N303" s="162">
        <f t="shared" si="283"/>
        <v>10173.403666666669</v>
      </c>
      <c r="O303" s="191">
        <f t="shared" si="284"/>
        <v>62426.596333333335</v>
      </c>
    </row>
    <row r="304" spans="1:15" ht="36.75" customHeight="1" x14ac:dyDescent="0.2">
      <c r="A304" s="225">
        <v>236</v>
      </c>
      <c r="B304" s="227" t="s">
        <v>825</v>
      </c>
      <c r="C304" s="227" t="s">
        <v>284</v>
      </c>
      <c r="D304" s="227" t="s">
        <v>602</v>
      </c>
      <c r="E304" s="228" t="s">
        <v>280</v>
      </c>
      <c r="F304" s="228" t="s">
        <v>19</v>
      </c>
      <c r="G304" s="162">
        <v>66550</v>
      </c>
      <c r="H304" s="162">
        <v>0</v>
      </c>
      <c r="I304" s="162">
        <f t="shared" ref="I304" si="291">SUM(G304:H304)</f>
        <v>66550</v>
      </c>
      <c r="J304" s="163">
        <f>IF(G304&gt;=Datos!$D$14,(Datos!$D$14*Datos!$C$14),IF(G304&lt;=Datos!$D$14,(G304*Datos!$C$14)))</f>
        <v>1909.9849999999999</v>
      </c>
      <c r="K304" s="164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4719.2546666666658</v>
      </c>
      <c r="L304" s="163">
        <f>IF(G304&gt;=Datos!$D$15,(Datos!$D$15*Datos!$C$15),IF(G304&lt;=Datos!$D$15,(G304*Datos!$C$15)))</f>
        <v>2023.12</v>
      </c>
      <c r="M304" s="162">
        <v>25</v>
      </c>
      <c r="N304" s="162">
        <f t="shared" ref="N304" si="292">SUM(J304:M304)</f>
        <v>8677.3596666666654</v>
      </c>
      <c r="O304" s="191">
        <f t="shared" ref="O304" si="293">+G304-N304</f>
        <v>57872.640333333336</v>
      </c>
    </row>
    <row r="305" spans="1:16" ht="36.75" customHeight="1" x14ac:dyDescent="0.2">
      <c r="A305" s="225">
        <v>237</v>
      </c>
      <c r="B305" s="227" t="s">
        <v>203</v>
      </c>
      <c r="C305" s="227" t="s">
        <v>284</v>
      </c>
      <c r="D305" s="227" t="s">
        <v>237</v>
      </c>
      <c r="E305" s="228" t="s">
        <v>280</v>
      </c>
      <c r="F305" s="228" t="s">
        <v>19</v>
      </c>
      <c r="G305" s="162">
        <v>86711.63</v>
      </c>
      <c r="H305" s="162">
        <v>0</v>
      </c>
      <c r="I305" s="162">
        <f t="shared" si="282"/>
        <v>86711.63</v>
      </c>
      <c r="J305" s="163">
        <f>IF(G305&gt;=Datos!$D$14,(Datos!$D$14*Datos!$C$14),IF(G305&lt;=Datos!$D$14,(G305*Datos!$C$14)))</f>
        <v>2488.6237810000002</v>
      </c>
      <c r="K305" s="164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8979.6038334166697</v>
      </c>
      <c r="L305" s="163">
        <f>IF(G305&gt;=Datos!$D$15,(Datos!$D$15*Datos!$C$15),IF(G305&lt;=Datos!$D$15,(G305*Datos!$C$15)))</f>
        <v>2636.0335520000003</v>
      </c>
      <c r="M305" s="162">
        <v>25</v>
      </c>
      <c r="N305" s="162">
        <f t="shared" si="283"/>
        <v>14129.261166416671</v>
      </c>
      <c r="O305" s="191">
        <f t="shared" si="284"/>
        <v>72582.368833583329</v>
      </c>
    </row>
    <row r="306" spans="1:16" ht="36.75" customHeight="1" x14ac:dyDescent="0.2">
      <c r="A306" s="225">
        <v>238</v>
      </c>
      <c r="B306" s="227" t="s">
        <v>232</v>
      </c>
      <c r="C306" s="227" t="s">
        <v>284</v>
      </c>
      <c r="D306" s="227" t="s">
        <v>620</v>
      </c>
      <c r="E306" s="228" t="s">
        <v>280</v>
      </c>
      <c r="F306" s="228" t="s">
        <v>19</v>
      </c>
      <c r="G306" s="162">
        <v>80000</v>
      </c>
      <c r="H306" s="162">
        <v>0</v>
      </c>
      <c r="I306" s="162">
        <f t="shared" si="282"/>
        <v>80000</v>
      </c>
      <c r="J306" s="163">
        <f>IF(G306&gt;=Datos!$D$14,(Datos!$D$14*Datos!$C$14),IF(G306&lt;=Datos!$D$14,(G306*Datos!$C$14)))</f>
        <v>2296</v>
      </c>
      <c r="K306" s="164">
        <f>IF((G306-J306-L306)&lt;=Datos!$G$7,"0",IF((G306-J306-L306)&lt;=Datos!$G$8,((G306-J306-L306)-Datos!$F$8)*Datos!$I$6,IF((G306-J306-L306)&lt;=Datos!$G$9,Datos!$I$8+((G306-J306-L306)-Datos!$F$9)*Datos!$J$6,IF((G306-J306-L306)&gt;=Datos!$F$10,(Datos!$I$8+Datos!$J$8)+((G306-J306-L306)-Datos!$F$10)*Datos!$K$6))))</f>
        <v>7400.8606666666674</v>
      </c>
      <c r="L306" s="163">
        <f>IF(G306&gt;=Datos!$D$15,(Datos!$D$15*Datos!$C$15),IF(G306&lt;=Datos!$D$15,(G306*Datos!$C$15)))</f>
        <v>2432</v>
      </c>
      <c r="M306" s="162">
        <v>25</v>
      </c>
      <c r="N306" s="162">
        <f t="shared" si="283"/>
        <v>12153.860666666667</v>
      </c>
      <c r="O306" s="191">
        <f t="shared" si="284"/>
        <v>67846.139333333325</v>
      </c>
    </row>
    <row r="307" spans="1:16" ht="36.75" customHeight="1" x14ac:dyDescent="0.2">
      <c r="A307" s="225">
        <v>239</v>
      </c>
      <c r="B307" s="227" t="s">
        <v>824</v>
      </c>
      <c r="C307" s="227" t="s">
        <v>284</v>
      </c>
      <c r="D307" s="227" t="s">
        <v>254</v>
      </c>
      <c r="E307" s="228" t="s">
        <v>280</v>
      </c>
      <c r="F307" s="228" t="s">
        <v>19</v>
      </c>
      <c r="G307" s="162">
        <v>35000</v>
      </c>
      <c r="H307" s="162">
        <v>0</v>
      </c>
      <c r="I307" s="162">
        <f t="shared" ref="I307" si="294">SUM(G307:H307)</f>
        <v>35000</v>
      </c>
      <c r="J307" s="163">
        <f>IF(G307&gt;=Datos!$D$14,(Datos!$D$14*Datos!$C$14),IF(G307&lt;=Datos!$D$14,(G307*Datos!$C$14)))</f>
        <v>1004.5</v>
      </c>
      <c r="K307" s="164" t="str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0</v>
      </c>
      <c r="L307" s="163">
        <f>IF(G307&gt;=Datos!$D$15,(Datos!$D$15*Datos!$C$15),IF(G307&lt;=Datos!$D$15,(G307*Datos!$C$15)))</f>
        <v>1064</v>
      </c>
      <c r="M307" s="162">
        <v>25</v>
      </c>
      <c r="N307" s="162">
        <f t="shared" ref="N307" si="295">SUM(J307:M307)</f>
        <v>2093.5</v>
      </c>
      <c r="O307" s="191">
        <f t="shared" ref="O307" si="296">+G307-N307</f>
        <v>32906.5</v>
      </c>
    </row>
    <row r="308" spans="1:16" ht="36.75" customHeight="1" x14ac:dyDescent="0.2">
      <c r="A308" s="225">
        <v>240</v>
      </c>
      <c r="B308" s="227" t="s">
        <v>822</v>
      </c>
      <c r="C308" s="227" t="s">
        <v>284</v>
      </c>
      <c r="D308" s="227" t="s">
        <v>1064</v>
      </c>
      <c r="E308" s="228" t="s">
        <v>280</v>
      </c>
      <c r="F308" s="228" t="s">
        <v>19</v>
      </c>
      <c r="G308" s="162">
        <f>80000+40000</f>
        <v>120000</v>
      </c>
      <c r="H308" s="162">
        <v>0</v>
      </c>
      <c r="I308" s="162">
        <f t="shared" ref="I308" si="297">SUM(G308:H308)</f>
        <v>120000</v>
      </c>
      <c r="J308" s="163">
        <f>IF(G308&gt;=Datos!$D$14,(Datos!$D$14*Datos!$C$14),IF(G308&lt;=Datos!$D$14,(G308*Datos!$C$14)))</f>
        <v>3444</v>
      </c>
      <c r="K308" s="164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16809.860666666667</v>
      </c>
      <c r="L308" s="163">
        <f>IF(G308&gt;=Datos!$D$15,(Datos!$D$15*Datos!$C$15),IF(G308&lt;=Datos!$D$15,(G308*Datos!$C$15)))</f>
        <v>3648</v>
      </c>
      <c r="M308" s="162">
        <v>25</v>
      </c>
      <c r="N308" s="162">
        <f t="shared" ref="N308" si="298">SUM(J308:M308)</f>
        <v>23926.860666666667</v>
      </c>
      <c r="O308" s="191">
        <f t="shared" ref="O308" si="299">+G308-N308</f>
        <v>96073.139333333325</v>
      </c>
    </row>
    <row r="309" spans="1:16" ht="36.75" customHeight="1" x14ac:dyDescent="0.2">
      <c r="A309" s="225">
        <v>241</v>
      </c>
      <c r="B309" s="227" t="s">
        <v>146</v>
      </c>
      <c r="C309" s="227" t="s">
        <v>284</v>
      </c>
      <c r="D309" s="227" t="s">
        <v>254</v>
      </c>
      <c r="E309" s="228" t="s">
        <v>280</v>
      </c>
      <c r="F309" s="228" t="s">
        <v>281</v>
      </c>
      <c r="G309" s="162">
        <v>35000</v>
      </c>
      <c r="H309" s="162">
        <v>0</v>
      </c>
      <c r="I309" s="162">
        <f t="shared" ref="I309" si="300">SUM(G309:H309)</f>
        <v>35000</v>
      </c>
      <c r="J309" s="163">
        <f>IF(G309&gt;=Datos!$D$14,(Datos!$D$14*Datos!$C$14),IF(G309&lt;=Datos!$D$14,(G309*Datos!$C$14)))</f>
        <v>1004.5</v>
      </c>
      <c r="K309" s="164" t="str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0</v>
      </c>
      <c r="L309" s="163">
        <f>IF(G309&gt;=Datos!$D$15,(Datos!$D$15*Datos!$C$15),IF(G309&lt;=Datos!$D$15,(G309*Datos!$C$15)))</f>
        <v>1064</v>
      </c>
      <c r="M309" s="162">
        <v>25</v>
      </c>
      <c r="N309" s="162">
        <f t="shared" ref="N309" si="301">SUM(J309:M309)</f>
        <v>2093.5</v>
      </c>
      <c r="O309" s="191">
        <f t="shared" ref="O309" si="302">+G309-N309</f>
        <v>32906.5</v>
      </c>
    </row>
    <row r="310" spans="1:16" ht="36.75" customHeight="1" x14ac:dyDescent="0.2">
      <c r="A310" s="225">
        <v>242</v>
      </c>
      <c r="B310" s="227" t="s">
        <v>353</v>
      </c>
      <c r="C310" s="227" t="s">
        <v>284</v>
      </c>
      <c r="D310" s="227" t="s">
        <v>237</v>
      </c>
      <c r="E310" s="228" t="s">
        <v>280</v>
      </c>
      <c r="F310" s="228" t="s">
        <v>19</v>
      </c>
      <c r="G310" s="162">
        <v>72600</v>
      </c>
      <c r="H310" s="162">
        <v>0</v>
      </c>
      <c r="I310" s="162">
        <f t="shared" si="279"/>
        <v>72600</v>
      </c>
      <c r="J310" s="163">
        <f>IF(G310&gt;=Datos!$D$14,(Datos!$D$14*Datos!$C$14),IF(G310&lt;=Datos!$D$14,(G310*Datos!$C$14)))</f>
        <v>2083.62</v>
      </c>
      <c r="K310" s="164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5857.743666666669</v>
      </c>
      <c r="L310" s="163">
        <f>IF(G310&gt;=Datos!$D$15,(Datos!$D$15*Datos!$C$15),IF(G310&lt;=Datos!$D$15,(G310*Datos!$C$15)))</f>
        <v>2207.04</v>
      </c>
      <c r="M310" s="162">
        <v>25</v>
      </c>
      <c r="N310" s="162">
        <f t="shared" ref="N310" si="303">SUM(J310:M310)</f>
        <v>10173.403666666669</v>
      </c>
      <c r="O310" s="191">
        <f t="shared" ref="O310" si="304">+G310-N310</f>
        <v>62426.596333333335</v>
      </c>
    </row>
    <row r="311" spans="1:16" s="234" customFormat="1" ht="36.75" customHeight="1" x14ac:dyDescent="0.2">
      <c r="A311" s="277" t="s">
        <v>455</v>
      </c>
      <c r="B311" s="278"/>
      <c r="C311" s="232">
        <v>15</v>
      </c>
      <c r="D311" s="232"/>
      <c r="E311" s="233"/>
      <c r="F311" s="166"/>
      <c r="G311" s="167">
        <f t="shared" ref="G311:O311" si="305">SUM(G296:G310)</f>
        <v>1010597.1900000001</v>
      </c>
      <c r="H311" s="167">
        <f t="shared" si="305"/>
        <v>0</v>
      </c>
      <c r="I311" s="167">
        <f t="shared" si="305"/>
        <v>1010597.1900000001</v>
      </c>
      <c r="J311" s="167">
        <f t="shared" si="305"/>
        <v>29004.139353000002</v>
      </c>
      <c r="K311" s="167">
        <f t="shared" si="305"/>
        <v>79575.03181835002</v>
      </c>
      <c r="L311" s="167">
        <f t="shared" si="305"/>
        <v>30722.154576000001</v>
      </c>
      <c r="M311" s="167">
        <f t="shared" si="305"/>
        <v>5521.38</v>
      </c>
      <c r="N311" s="167">
        <f t="shared" si="305"/>
        <v>144822.70574735003</v>
      </c>
      <c r="O311" s="167">
        <f t="shared" si="305"/>
        <v>865774.48425265006</v>
      </c>
    </row>
    <row r="312" spans="1:16" ht="36.75" customHeight="1" x14ac:dyDescent="0.2">
      <c r="A312" s="277" t="s">
        <v>467</v>
      </c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46"/>
    </row>
    <row r="313" spans="1:16" ht="36.75" customHeight="1" x14ac:dyDescent="0.2">
      <c r="A313" s="225">
        <v>243</v>
      </c>
      <c r="B313" s="227" t="s">
        <v>32</v>
      </c>
      <c r="C313" s="227" t="s">
        <v>284</v>
      </c>
      <c r="D313" s="99" t="s">
        <v>1063</v>
      </c>
      <c r="E313" s="228" t="s">
        <v>280</v>
      </c>
      <c r="F313" s="228" t="s">
        <v>19</v>
      </c>
      <c r="G313" s="162">
        <v>120000</v>
      </c>
      <c r="H313" s="162">
        <v>0</v>
      </c>
      <c r="I313" s="162">
        <f t="shared" ref="I313:I319" si="306">SUM(G313:H313)</f>
        <v>120000</v>
      </c>
      <c r="J313" s="163">
        <f>IF(G313&gt;=Datos!$D$14,(Datos!$D$14*Datos!$C$14),IF(G313&lt;=Datos!$D$14,(G313*Datos!$C$14)))</f>
        <v>3444</v>
      </c>
      <c r="K313" s="164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16809.860666666667</v>
      </c>
      <c r="L313" s="163">
        <f>IF(G313&gt;=Datos!$D$15,(Datos!$D$15*Datos!$C$15),IF(G313&lt;=Datos!$D$15,(G313*Datos!$C$15)))</f>
        <v>3648</v>
      </c>
      <c r="M313" s="162">
        <v>25</v>
      </c>
      <c r="N313" s="162">
        <f t="shared" ref="N313:N317" si="307">SUM(J313:M313)</f>
        <v>23926.860666666667</v>
      </c>
      <c r="O313" s="191">
        <f t="shared" ref="O313:O317" si="308">+G313-N313</f>
        <v>96073.139333333325</v>
      </c>
    </row>
    <row r="314" spans="1:16" ht="36.75" customHeight="1" x14ac:dyDescent="0.2">
      <c r="A314" s="225">
        <v>244</v>
      </c>
      <c r="B314" s="227" t="s">
        <v>184</v>
      </c>
      <c r="C314" s="227" t="s">
        <v>284</v>
      </c>
      <c r="D314" s="227" t="s">
        <v>646</v>
      </c>
      <c r="E314" s="228" t="s">
        <v>280</v>
      </c>
      <c r="F314" s="228" t="s">
        <v>19</v>
      </c>
      <c r="G314" s="162">
        <v>90750</v>
      </c>
      <c r="H314" s="162">
        <v>0</v>
      </c>
      <c r="I314" s="162">
        <f t="shared" si="306"/>
        <v>90750</v>
      </c>
      <c r="J314" s="163">
        <f>IF(G314&gt;=Datos!$D$14,(Datos!$D$14*Datos!$C$14),IF(G314&lt;=Datos!$D$14,(G314*Datos!$C$14)))</f>
        <v>2604.5250000000001</v>
      </c>
      <c r="K314" s="164">
        <f>IF((G314-J314-L314)&lt;=Datos!$G$7,"0",IF((G314-J314-L314)&lt;=Datos!$G$8,((G314-J314-L314)-Datos!$F$8)*Datos!$I$6,IF((G314-J314-L314)&lt;=Datos!$G$9,Datos!$I$8+((G314-J314-L314)-Datos!$F$9)*Datos!$J$6,IF((G314-J314-L314)&gt;=Datos!$F$10,(Datos!$I$8+Datos!$J$8)+((G314-J314-L314)-Datos!$F$10)*Datos!$K$6))))</f>
        <v>9929.5294166666681</v>
      </c>
      <c r="L314" s="163">
        <f>IF(G314&gt;=Datos!$D$15,(Datos!$D$15*Datos!$C$15),IF(G314&lt;=Datos!$D$15,(G314*Datos!$C$15)))</f>
        <v>2758.8</v>
      </c>
      <c r="M314" s="162">
        <v>25</v>
      </c>
      <c r="N314" s="162">
        <f t="shared" si="307"/>
        <v>15317.854416666669</v>
      </c>
      <c r="O314" s="191">
        <f t="shared" si="308"/>
        <v>75432.145583333331</v>
      </c>
    </row>
    <row r="315" spans="1:16" ht="36.75" customHeight="1" x14ac:dyDescent="0.2">
      <c r="A315" s="225">
        <v>245</v>
      </c>
      <c r="B315" s="227" t="s">
        <v>160</v>
      </c>
      <c r="C315" s="227" t="s">
        <v>284</v>
      </c>
      <c r="D315" s="227" t="s">
        <v>646</v>
      </c>
      <c r="E315" s="228" t="s">
        <v>280</v>
      </c>
      <c r="F315" s="228" t="s">
        <v>19</v>
      </c>
      <c r="G315" s="162">
        <v>72600</v>
      </c>
      <c r="H315" s="162">
        <v>0</v>
      </c>
      <c r="I315" s="162">
        <f t="shared" si="306"/>
        <v>72600</v>
      </c>
      <c r="J315" s="163">
        <f>IF(G315&gt;=Datos!$D$14,(Datos!$D$14*Datos!$C$14),IF(G315&lt;=Datos!$D$14,(G315*Datos!$C$14)))</f>
        <v>2083.62</v>
      </c>
      <c r="K315" s="164">
        <f>IF((G315-J315-L315)&lt;=Datos!$G$7,"0",IF((G315-J315-L315)&lt;=Datos!$G$8,((G315-J315-L315)-Datos!$F$8)*Datos!$I$6,IF((G315-J315-L315)&lt;=Datos!$G$9,Datos!$I$8+((G315-J315-L315)-Datos!$F$9)*Datos!$J$6,IF((G315-J315-L315)&gt;=Datos!$F$10,(Datos!$I$8+Datos!$J$8)+((G315-J315-L315)-Datos!$F$10)*Datos!$K$6))))</f>
        <v>5857.743666666669</v>
      </c>
      <c r="L315" s="163">
        <f>IF(G315&gt;=Datos!$D$15,(Datos!$D$15*Datos!$C$15),IF(G315&lt;=Datos!$D$15,(G315*Datos!$C$15)))</f>
        <v>2207.04</v>
      </c>
      <c r="M315" s="162">
        <v>25</v>
      </c>
      <c r="N315" s="162">
        <f t="shared" si="307"/>
        <v>10173.403666666669</v>
      </c>
      <c r="O315" s="191">
        <f t="shared" si="308"/>
        <v>62426.596333333335</v>
      </c>
    </row>
    <row r="316" spans="1:16" ht="36.75" customHeight="1" x14ac:dyDescent="0.2">
      <c r="A316" s="225">
        <v>246</v>
      </c>
      <c r="B316" s="226" t="s">
        <v>135</v>
      </c>
      <c r="C316" s="227" t="s">
        <v>284</v>
      </c>
      <c r="D316" s="226" t="s">
        <v>243</v>
      </c>
      <c r="E316" s="228" t="s">
        <v>280</v>
      </c>
      <c r="F316" s="228" t="s">
        <v>19</v>
      </c>
      <c r="G316" s="138">
        <v>35000</v>
      </c>
      <c r="H316" s="162">
        <v>0</v>
      </c>
      <c r="I316" s="162">
        <f t="shared" si="306"/>
        <v>35000</v>
      </c>
      <c r="J316" s="163">
        <f>IF(G316&gt;=Datos!$D$14,(Datos!$D$14*Datos!$C$14),IF(G316&lt;=Datos!$D$14,(G316*Datos!$C$14)))</f>
        <v>1004.5</v>
      </c>
      <c r="K316" s="164" t="str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0</v>
      </c>
      <c r="L316" s="163">
        <f>IF(G316&gt;=Datos!$D$15,(Datos!$D$15*Datos!$C$15),IF(G316&lt;=Datos!$D$15,(G316*Datos!$C$15)))</f>
        <v>1064</v>
      </c>
      <c r="M316" s="162">
        <v>5832.04</v>
      </c>
      <c r="N316" s="162">
        <f t="shared" ref="N316" si="309">SUM(J316:M316)</f>
        <v>7900.54</v>
      </c>
      <c r="O316" s="191">
        <f t="shared" ref="O316" si="310">+G316-N316</f>
        <v>27099.46</v>
      </c>
      <c r="P316" s="13"/>
    </row>
    <row r="317" spans="1:16" ht="36.75" customHeight="1" x14ac:dyDescent="0.2">
      <c r="A317" s="225">
        <v>247</v>
      </c>
      <c r="B317" s="227" t="s">
        <v>227</v>
      </c>
      <c r="C317" s="227" t="s">
        <v>284</v>
      </c>
      <c r="D317" s="227" t="s">
        <v>646</v>
      </c>
      <c r="E317" s="228" t="s">
        <v>280</v>
      </c>
      <c r="F317" s="228" t="s">
        <v>19</v>
      </c>
      <c r="G317" s="162">
        <v>86711.63</v>
      </c>
      <c r="H317" s="162">
        <v>0</v>
      </c>
      <c r="I317" s="162">
        <f t="shared" si="306"/>
        <v>86711.63</v>
      </c>
      <c r="J317" s="163">
        <f>IF(G317&gt;=Datos!$D$14,(Datos!$D$14*Datos!$C$14),IF(G317&lt;=Datos!$D$14,(G317*Datos!$C$14)))</f>
        <v>2488.6237810000002</v>
      </c>
      <c r="K317" s="164">
        <f>IF((G317-J317-L317)&lt;=Datos!$G$7,"0",IF((G317-J317-L317)&lt;=Datos!$G$8,((G317-J317-L317)-Datos!$F$8)*Datos!$I$6,IF((G317-J317-L317)&lt;=Datos!$G$9,Datos!$I$8+((G317-J317-L317)-Datos!$F$9)*Datos!$J$6,IF((G317-J317-L317)&gt;=Datos!$F$10,(Datos!$I$8+Datos!$J$8)+((G317-J317-L317)-Datos!$F$10)*Datos!$K$6))))</f>
        <v>8979.6038334166697</v>
      </c>
      <c r="L317" s="163">
        <f>IF(G317&gt;=Datos!$D$15,(Datos!$D$15*Datos!$C$15),IF(G317&lt;=Datos!$D$15,(G317*Datos!$C$15)))</f>
        <v>2636.0335520000003</v>
      </c>
      <c r="M317" s="162">
        <v>25</v>
      </c>
      <c r="N317" s="162">
        <f t="shared" si="307"/>
        <v>14129.261166416671</v>
      </c>
      <c r="O317" s="191">
        <f t="shared" si="308"/>
        <v>72582.368833583329</v>
      </c>
    </row>
    <row r="318" spans="1:16" ht="36.75" customHeight="1" x14ac:dyDescent="0.2">
      <c r="A318" s="225">
        <v>248</v>
      </c>
      <c r="B318" s="227" t="s">
        <v>274</v>
      </c>
      <c r="C318" s="227" t="s">
        <v>284</v>
      </c>
      <c r="D318" s="227" t="s">
        <v>646</v>
      </c>
      <c r="E318" s="228" t="s">
        <v>280</v>
      </c>
      <c r="F318" s="228" t="s">
        <v>19</v>
      </c>
      <c r="G318" s="162">
        <v>72600</v>
      </c>
      <c r="H318" s="162">
        <v>0</v>
      </c>
      <c r="I318" s="162">
        <f t="shared" si="306"/>
        <v>72600</v>
      </c>
      <c r="J318" s="163">
        <f>IF(G318&gt;=Datos!$D$14,(Datos!$D$14*Datos!$C$14),IF(G318&lt;=Datos!$D$14,(G318*Datos!$C$14)))</f>
        <v>2083.62</v>
      </c>
      <c r="K318" s="164">
        <v>5514.65</v>
      </c>
      <c r="L318" s="163">
        <f>IF(G318&gt;=Datos!$D$15,(Datos!$D$15*Datos!$C$15),IF(G318&lt;=Datos!$D$15,(G318*Datos!$C$15)))</f>
        <v>2207.04</v>
      </c>
      <c r="M318" s="162">
        <v>1740.46</v>
      </c>
      <c r="N318" s="162">
        <f t="shared" ref="N318:N319" si="311">SUM(J318:M318)</f>
        <v>11545.77</v>
      </c>
      <c r="O318" s="191">
        <f t="shared" ref="O318:O319" si="312">+G318-N318</f>
        <v>61054.229999999996</v>
      </c>
    </row>
    <row r="319" spans="1:16" ht="36.75" customHeight="1" x14ac:dyDescent="0.2">
      <c r="A319" s="225">
        <v>249</v>
      </c>
      <c r="B319" s="227" t="s">
        <v>197</v>
      </c>
      <c r="C319" s="227" t="s">
        <v>284</v>
      </c>
      <c r="D319" s="227" t="s">
        <v>646</v>
      </c>
      <c r="E319" s="228" t="s">
        <v>280</v>
      </c>
      <c r="F319" s="228" t="s">
        <v>19</v>
      </c>
      <c r="G319" s="162">
        <v>86711.63</v>
      </c>
      <c r="H319" s="162">
        <v>0</v>
      </c>
      <c r="I319" s="162">
        <f t="shared" si="306"/>
        <v>86711.63</v>
      </c>
      <c r="J319" s="163">
        <f>IF(G319&gt;=Datos!$D$14,(Datos!$D$14*Datos!$C$14),IF(G319&lt;=Datos!$D$14,(G319*Datos!$C$14)))</f>
        <v>2488.6237810000002</v>
      </c>
      <c r="K319" s="164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8979.6038334166697</v>
      </c>
      <c r="L319" s="163">
        <f>IF(G319&gt;=Datos!$D$15,(Datos!$D$15*Datos!$C$15),IF(G319&lt;=Datos!$D$15,(G319*Datos!$C$15)))</f>
        <v>2636.0335520000003</v>
      </c>
      <c r="M319" s="162">
        <v>25</v>
      </c>
      <c r="N319" s="162">
        <f t="shared" si="311"/>
        <v>14129.261166416671</v>
      </c>
      <c r="O319" s="191">
        <f t="shared" si="312"/>
        <v>72582.368833583329</v>
      </c>
    </row>
    <row r="320" spans="1:16" s="234" customFormat="1" ht="36.75" customHeight="1" x14ac:dyDescent="0.2">
      <c r="A320" s="277" t="s">
        <v>455</v>
      </c>
      <c r="B320" s="278"/>
      <c r="C320" s="232">
        <v>7</v>
      </c>
      <c r="D320" s="232"/>
      <c r="E320" s="233"/>
      <c r="F320" s="166"/>
      <c r="G320" s="167">
        <f t="shared" ref="G320:O320" si="313">SUM(G313:G319)</f>
        <v>564373.26</v>
      </c>
      <c r="H320" s="167">
        <f t="shared" si="313"/>
        <v>0</v>
      </c>
      <c r="I320" s="167">
        <f t="shared" si="313"/>
        <v>564373.26</v>
      </c>
      <c r="J320" s="167">
        <f t="shared" si="313"/>
        <v>16197.512562000002</v>
      </c>
      <c r="K320" s="167">
        <f t="shared" si="313"/>
        <v>56070.991416833349</v>
      </c>
      <c r="L320" s="167">
        <f t="shared" si="313"/>
        <v>17156.947104000003</v>
      </c>
      <c r="M320" s="167">
        <f t="shared" si="313"/>
        <v>7697.5</v>
      </c>
      <c r="N320" s="167">
        <f t="shared" si="313"/>
        <v>97122.951082833359</v>
      </c>
      <c r="O320" s="167">
        <f t="shared" si="313"/>
        <v>467250.30891716661</v>
      </c>
    </row>
    <row r="321" spans="1:16" ht="36.75" customHeight="1" x14ac:dyDescent="0.2">
      <c r="A321" s="277" t="s">
        <v>468</v>
      </c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9"/>
    </row>
    <row r="322" spans="1:16" ht="36.75" customHeight="1" x14ac:dyDescent="0.2">
      <c r="A322" s="225">
        <v>250</v>
      </c>
      <c r="B322" s="227" t="s">
        <v>58</v>
      </c>
      <c r="C322" s="227" t="s">
        <v>286</v>
      </c>
      <c r="D322" s="227" t="s">
        <v>245</v>
      </c>
      <c r="E322" s="228" t="s">
        <v>280</v>
      </c>
      <c r="F322" s="228" t="s">
        <v>19</v>
      </c>
      <c r="G322" s="162">
        <v>40440.660000000003</v>
      </c>
      <c r="H322" s="162">
        <v>0</v>
      </c>
      <c r="I322" s="162">
        <f t="shared" ref="I322:I329" si="314">SUM(G322:H322)</f>
        <v>40440.660000000003</v>
      </c>
      <c r="J322" s="163">
        <f>IF(G322&gt;=Datos!$D$14,(Datos!$D$14*Datos!$C$14),IF(G322&lt;=Datos!$D$14,(G322*Datos!$C$14)))</f>
        <v>1160.6469420000001</v>
      </c>
      <c r="K322" s="164">
        <f>IF((G322-J322-L322)&lt;=Datos!$G$7,"0",IF((G322-J322-L322)&lt;=Datos!$G$8,((G322-J322-L322)-Datos!$F$8)*Datos!$I$6,IF((G322-J322-L322)&lt;=Datos!$G$9,Datos!$I$8+((G322-J322-L322)-Datos!$F$9)*Datos!$J$6,IF((G322-J322-L322)&gt;=Datos!$F$10,(Datos!$I$8+Datos!$J$8)+((G322-J322-L322)-Datos!$F$10)*Datos!$K$6))))</f>
        <v>504.84104910000019</v>
      </c>
      <c r="L322" s="163">
        <f>IF(G322&gt;=Datos!$D$15,(Datos!$D$15*Datos!$C$15),IF(G322&lt;=Datos!$D$15,(G322*Datos!$C$15)))</f>
        <v>1229.396064</v>
      </c>
      <c r="M322" s="162">
        <v>5275</v>
      </c>
      <c r="N322" s="162">
        <f t="shared" ref="N322:N325" si="315">SUM(J322:M322)</f>
        <v>8169.8840551000003</v>
      </c>
      <c r="O322" s="191">
        <f t="shared" ref="O322:O325" si="316">+G322-N322</f>
        <v>32270.775944900004</v>
      </c>
    </row>
    <row r="323" spans="1:16" ht="36.75" customHeight="1" x14ac:dyDescent="0.2">
      <c r="A323" s="225">
        <v>251</v>
      </c>
      <c r="B323" s="226" t="s">
        <v>110</v>
      </c>
      <c r="C323" s="227" t="s">
        <v>286</v>
      </c>
      <c r="D323" s="226" t="s">
        <v>245</v>
      </c>
      <c r="E323" s="228" t="s">
        <v>280</v>
      </c>
      <c r="F323" s="228" t="s">
        <v>281</v>
      </c>
      <c r="G323" s="138">
        <v>40440.660000000003</v>
      </c>
      <c r="H323" s="162">
        <v>0</v>
      </c>
      <c r="I323" s="162">
        <f t="shared" si="314"/>
        <v>40440.660000000003</v>
      </c>
      <c r="J323" s="163">
        <f>IF(G323&gt;=Datos!$D$14,(Datos!$D$14*Datos!$C$14),IF(G323&lt;=Datos!$D$14,(G323*Datos!$C$14)))</f>
        <v>1160.6469420000001</v>
      </c>
      <c r="K323" s="164">
        <f>IF((G323-J323-L323)&lt;=Datos!$G$7,"0",IF((G323-J323-L323)&lt;=Datos!$G$8,((G323-J323-L323)-Datos!$F$8)*Datos!$I$6,IF((G323-J323-L323)&lt;=Datos!$G$9,Datos!$I$8+((G323-J323-L323)-Datos!$F$9)*Datos!$J$6,IF((G323-J323-L323)&gt;=Datos!$F$10,(Datos!$I$8+Datos!$J$8)+((G323-J323-L323)-Datos!$F$10)*Datos!$K$6))))</f>
        <v>504.84104910000019</v>
      </c>
      <c r="L323" s="163">
        <f>IF(G323&gt;=Datos!$D$15,(Datos!$D$15*Datos!$C$15),IF(G323&lt;=Datos!$D$15,(G323*Datos!$C$15)))</f>
        <v>1229.396064</v>
      </c>
      <c r="M323" s="162">
        <v>3325</v>
      </c>
      <c r="N323" s="162">
        <f t="shared" si="315"/>
        <v>6219.8840551000003</v>
      </c>
      <c r="O323" s="191">
        <f t="shared" si="316"/>
        <v>34220.7759449</v>
      </c>
      <c r="P323" s="13"/>
    </row>
    <row r="324" spans="1:16" ht="36.75" customHeight="1" x14ac:dyDescent="0.2">
      <c r="A324" s="225">
        <v>252</v>
      </c>
      <c r="B324" s="227" t="s">
        <v>202</v>
      </c>
      <c r="C324" s="227" t="s">
        <v>286</v>
      </c>
      <c r="D324" s="227" t="s">
        <v>254</v>
      </c>
      <c r="E324" s="228" t="s">
        <v>280</v>
      </c>
      <c r="F324" s="228" t="s">
        <v>281</v>
      </c>
      <c r="G324" s="162">
        <v>35000</v>
      </c>
      <c r="H324" s="162">
        <v>0</v>
      </c>
      <c r="I324" s="162">
        <f t="shared" si="314"/>
        <v>35000</v>
      </c>
      <c r="J324" s="163">
        <f>IF(G324&gt;=Datos!$D$14,(Datos!$D$14*Datos!$C$14),IF(G324&lt;=Datos!$D$14,(G324*Datos!$C$14)))</f>
        <v>1004.5</v>
      </c>
      <c r="K324" s="164" t="str">
        <f>IF((G324-J324-L324)&lt;=Datos!$G$7,"0",IF((G324-J324-L324)&lt;=Datos!$G$8,((G324-J324-L324)-Datos!$F$8)*Datos!$I$6,IF((G324-J324-L324)&lt;=Datos!$G$9,Datos!$I$8+((G324-J324-L324)-Datos!$F$9)*Datos!$J$6,IF((G324-J324-L324)&gt;=Datos!$F$10,(Datos!$I$8+Datos!$J$8)+((G324-J324-L324)-Datos!$F$10)*Datos!$K$6))))</f>
        <v>0</v>
      </c>
      <c r="L324" s="163">
        <f>IF(G324&gt;=Datos!$D$15,(Datos!$D$15*Datos!$C$15),IF(G324&lt;=Datos!$D$15,(G324*Datos!$C$15)))</f>
        <v>1064</v>
      </c>
      <c r="M324" s="162">
        <v>3525</v>
      </c>
      <c r="N324" s="162">
        <f t="shared" si="315"/>
        <v>5593.5</v>
      </c>
      <c r="O324" s="191">
        <f t="shared" si="316"/>
        <v>29406.5</v>
      </c>
    </row>
    <row r="325" spans="1:16" ht="36.75" customHeight="1" x14ac:dyDescent="0.2">
      <c r="A325" s="225">
        <v>253</v>
      </c>
      <c r="B325" s="227" t="s">
        <v>54</v>
      </c>
      <c r="C325" s="227" t="s">
        <v>286</v>
      </c>
      <c r="D325" s="227" t="s">
        <v>602</v>
      </c>
      <c r="E325" s="228" t="s">
        <v>280</v>
      </c>
      <c r="F325" s="228" t="s">
        <v>19</v>
      </c>
      <c r="G325" s="162">
        <v>86711.63</v>
      </c>
      <c r="H325" s="162">
        <v>0</v>
      </c>
      <c r="I325" s="162">
        <f t="shared" si="314"/>
        <v>86711.63</v>
      </c>
      <c r="J325" s="163">
        <f>IF(G325&gt;=Datos!$D$14,(Datos!$D$14*Datos!$C$14),IF(G325&lt;=Datos!$D$14,(G325*Datos!$C$14)))</f>
        <v>2488.6237810000002</v>
      </c>
      <c r="K325" s="164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8979.6038334166697</v>
      </c>
      <c r="L325" s="163">
        <f>IF(G325&gt;=Datos!$D$15,(Datos!$D$15*Datos!$C$15),IF(G325&lt;=Datos!$D$15,(G325*Datos!$C$15)))</f>
        <v>2636.0335520000003</v>
      </c>
      <c r="M325" s="162">
        <v>25</v>
      </c>
      <c r="N325" s="162">
        <f t="shared" si="315"/>
        <v>14129.261166416671</v>
      </c>
      <c r="O325" s="191">
        <f t="shared" si="316"/>
        <v>72582.368833583329</v>
      </c>
    </row>
    <row r="326" spans="1:16" ht="36.75" customHeight="1" x14ac:dyDescent="0.2">
      <c r="A326" s="225">
        <v>254</v>
      </c>
      <c r="B326" s="227" t="s">
        <v>213</v>
      </c>
      <c r="C326" s="227" t="s">
        <v>286</v>
      </c>
      <c r="D326" s="227" t="s">
        <v>237</v>
      </c>
      <c r="E326" s="228" t="s">
        <v>280</v>
      </c>
      <c r="F326" s="228" t="s">
        <v>19</v>
      </c>
      <c r="G326" s="162">
        <v>82582.5</v>
      </c>
      <c r="H326" s="162">
        <v>0</v>
      </c>
      <c r="I326" s="162">
        <f t="shared" si="314"/>
        <v>82582.5</v>
      </c>
      <c r="J326" s="163">
        <f>IF(G326&gt;=Datos!$D$14,(Datos!$D$14*Datos!$C$14),IF(G326&lt;=Datos!$D$14,(G326*Datos!$C$14)))</f>
        <v>2370.1177499999999</v>
      </c>
      <c r="K326" s="164">
        <v>7579.47</v>
      </c>
      <c r="L326" s="163">
        <f>IF(G326&gt;=Datos!$D$15,(Datos!$D$15*Datos!$C$15),IF(G326&lt;=Datos!$D$15,(G326*Datos!$C$15)))</f>
        <v>2510.5079999999998</v>
      </c>
      <c r="M326" s="162">
        <v>1740.46</v>
      </c>
      <c r="N326" s="162">
        <f t="shared" ref="N326" si="317">SUM(J326:M326)</f>
        <v>14200.55575</v>
      </c>
      <c r="O326" s="191">
        <f t="shared" ref="O326" si="318">+G326-N326</f>
        <v>68381.94425</v>
      </c>
    </row>
    <row r="327" spans="1:16" ht="36.75" customHeight="1" x14ac:dyDescent="0.2">
      <c r="A327" s="225">
        <v>255</v>
      </c>
      <c r="B327" s="227" t="s">
        <v>568</v>
      </c>
      <c r="C327" s="227" t="s">
        <v>286</v>
      </c>
      <c r="D327" s="227" t="s">
        <v>238</v>
      </c>
      <c r="E327" s="228" t="s">
        <v>280</v>
      </c>
      <c r="F327" s="228" t="s">
        <v>19</v>
      </c>
      <c r="G327" s="162">
        <v>82582.5</v>
      </c>
      <c r="H327" s="162">
        <v>0</v>
      </c>
      <c r="I327" s="162">
        <f t="shared" si="314"/>
        <v>82582.5</v>
      </c>
      <c r="J327" s="163">
        <f>IF(G327&gt;=Datos!$D$14,(Datos!$D$14*Datos!$C$14),IF(G327&lt;=Datos!$D$14,(G327*Datos!$C$14)))</f>
        <v>2370.1177499999999</v>
      </c>
      <c r="K327" s="164">
        <v>7579.47</v>
      </c>
      <c r="L327" s="163">
        <f>IF(G327&gt;=Datos!$D$15,(Datos!$D$15*Datos!$C$15),IF(G327&lt;=Datos!$D$15,(G327*Datos!$C$15)))</f>
        <v>2510.5079999999998</v>
      </c>
      <c r="M327" s="162">
        <v>1740.46</v>
      </c>
      <c r="N327" s="162">
        <f t="shared" ref="N327:N329" si="319">SUM(J327:M327)</f>
        <v>14200.55575</v>
      </c>
      <c r="O327" s="191">
        <f t="shared" ref="O327:O329" si="320">+G327-N327</f>
        <v>68381.94425</v>
      </c>
    </row>
    <row r="328" spans="1:16" ht="36.75" customHeight="1" x14ac:dyDescent="0.2">
      <c r="A328" s="225">
        <v>256</v>
      </c>
      <c r="B328" s="227" t="s">
        <v>228</v>
      </c>
      <c r="C328" s="227" t="s">
        <v>286</v>
      </c>
      <c r="D328" s="227" t="s">
        <v>255</v>
      </c>
      <c r="E328" s="228" t="s">
        <v>280</v>
      </c>
      <c r="F328" s="228" t="s">
        <v>281</v>
      </c>
      <c r="G328" s="162">
        <v>86711.63</v>
      </c>
      <c r="H328" s="162">
        <v>0</v>
      </c>
      <c r="I328" s="162">
        <f t="shared" si="314"/>
        <v>86711.63</v>
      </c>
      <c r="J328" s="163">
        <f>IF(G328&gt;=Datos!$D$14,(Datos!$D$14*Datos!$C$14),IF(G328&lt;=Datos!$D$14,(G328*Datos!$C$14)))</f>
        <v>2488.6237810000002</v>
      </c>
      <c r="K328" s="164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8979.6038334166697</v>
      </c>
      <c r="L328" s="163">
        <f>IF(G328&gt;=Datos!$D$15,(Datos!$D$15*Datos!$C$15),IF(G328&lt;=Datos!$D$15,(G328*Datos!$C$15)))</f>
        <v>2636.0335520000003</v>
      </c>
      <c r="M328" s="162">
        <v>25</v>
      </c>
      <c r="N328" s="162">
        <f t="shared" si="319"/>
        <v>14129.261166416671</v>
      </c>
      <c r="O328" s="191">
        <f t="shared" si="320"/>
        <v>72582.368833583329</v>
      </c>
    </row>
    <row r="329" spans="1:16" ht="36.75" customHeight="1" x14ac:dyDescent="0.2">
      <c r="A329" s="225">
        <v>257</v>
      </c>
      <c r="B329" s="227" t="s">
        <v>158</v>
      </c>
      <c r="C329" s="227" t="s">
        <v>286</v>
      </c>
      <c r="D329" s="227" t="s">
        <v>238</v>
      </c>
      <c r="E329" s="228" t="s">
        <v>280</v>
      </c>
      <c r="F329" s="228" t="s">
        <v>19</v>
      </c>
      <c r="G329" s="162">
        <v>82582.5</v>
      </c>
      <c r="H329" s="162">
        <v>0</v>
      </c>
      <c r="I329" s="162">
        <f t="shared" si="314"/>
        <v>82582.5</v>
      </c>
      <c r="J329" s="163">
        <f>IF(G329&gt;=Datos!$D$14,(Datos!$D$14*Datos!$C$14),IF(G329&lt;=Datos!$D$14,(G329*Datos!$C$14)))</f>
        <v>2370.1177499999999</v>
      </c>
      <c r="K329" s="164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8008.3292291666658</v>
      </c>
      <c r="L329" s="163">
        <f>IF(G329&gt;=Datos!$D$15,(Datos!$D$15*Datos!$C$15),IF(G329&lt;=Datos!$D$15,(G329*Datos!$C$15)))</f>
        <v>2510.5079999999998</v>
      </c>
      <c r="M329" s="162">
        <v>25</v>
      </c>
      <c r="N329" s="162">
        <f t="shared" si="319"/>
        <v>12913.954979166665</v>
      </c>
      <c r="O329" s="191">
        <f t="shared" si="320"/>
        <v>69668.545020833335</v>
      </c>
    </row>
    <row r="330" spans="1:16" s="234" customFormat="1" ht="36.75" customHeight="1" x14ac:dyDescent="0.2">
      <c r="A330" s="277" t="s">
        <v>455</v>
      </c>
      <c r="B330" s="278"/>
      <c r="C330" s="232">
        <v>8</v>
      </c>
      <c r="D330" s="232"/>
      <c r="E330" s="233"/>
      <c r="F330" s="166"/>
      <c r="G330" s="167">
        <f>SUM(G322:G329)</f>
        <v>537052.08000000007</v>
      </c>
      <c r="H330" s="167">
        <f t="shared" ref="H330:O330" si="321">SUM(H322:H329)</f>
        <v>0</v>
      </c>
      <c r="I330" s="167">
        <f t="shared" si="321"/>
        <v>537052.08000000007</v>
      </c>
      <c r="J330" s="167">
        <f t="shared" si="321"/>
        <v>15413.394695999999</v>
      </c>
      <c r="K330" s="167">
        <f t="shared" si="321"/>
        <v>42136.158994200006</v>
      </c>
      <c r="L330" s="167">
        <f t="shared" si="321"/>
        <v>16326.383232</v>
      </c>
      <c r="M330" s="167">
        <f t="shared" si="321"/>
        <v>15680.919999999998</v>
      </c>
      <c r="N330" s="167">
        <f t="shared" si="321"/>
        <v>89556.856922200008</v>
      </c>
      <c r="O330" s="167">
        <f t="shared" si="321"/>
        <v>447495.22307779995</v>
      </c>
    </row>
    <row r="331" spans="1:16" ht="36.75" customHeight="1" x14ac:dyDescent="0.2">
      <c r="A331" s="277" t="s">
        <v>509</v>
      </c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9"/>
    </row>
    <row r="332" spans="1:16" ht="36.75" customHeight="1" x14ac:dyDescent="0.2">
      <c r="A332" s="225">
        <v>258</v>
      </c>
      <c r="B332" s="227" t="s">
        <v>42</v>
      </c>
      <c r="C332" s="227" t="s">
        <v>286</v>
      </c>
      <c r="D332" s="227" t="s">
        <v>646</v>
      </c>
      <c r="E332" s="228" t="s">
        <v>280</v>
      </c>
      <c r="F332" s="228" t="s">
        <v>19</v>
      </c>
      <c r="G332" s="162">
        <v>72600</v>
      </c>
      <c r="H332" s="162">
        <v>0</v>
      </c>
      <c r="I332" s="162">
        <f t="shared" ref="I332:I335" si="322">SUM(G332:H332)</f>
        <v>72600</v>
      </c>
      <c r="J332" s="163">
        <f>IF(G332&gt;=Datos!$D$14,(Datos!$D$14*Datos!$C$14),IF(G332&lt;=Datos!$D$14,(G332*Datos!$C$14)))</f>
        <v>2083.62</v>
      </c>
      <c r="K332" s="164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5857.743666666669</v>
      </c>
      <c r="L332" s="163">
        <f>IF(G332&gt;=Datos!$D$15,(Datos!$D$15*Datos!$C$15),IF(G332&lt;=Datos!$D$15,(G332*Datos!$C$15)))</f>
        <v>2207.04</v>
      </c>
      <c r="M332" s="162">
        <v>1125</v>
      </c>
      <c r="N332" s="162">
        <f t="shared" ref="N332:N333" si="323">SUM(J332:M332)</f>
        <v>11273.403666666669</v>
      </c>
      <c r="O332" s="191">
        <f t="shared" ref="O332:O333" si="324">+G332-N332</f>
        <v>61326.596333333335</v>
      </c>
    </row>
    <row r="333" spans="1:16" ht="36.75" customHeight="1" x14ac:dyDescent="0.2">
      <c r="A333" s="225">
        <v>259</v>
      </c>
      <c r="B333" s="227" t="s">
        <v>164</v>
      </c>
      <c r="C333" s="227" t="s">
        <v>286</v>
      </c>
      <c r="D333" s="227" t="s">
        <v>646</v>
      </c>
      <c r="E333" s="228" t="s">
        <v>280</v>
      </c>
      <c r="F333" s="228" t="s">
        <v>19</v>
      </c>
      <c r="G333" s="162">
        <v>72600</v>
      </c>
      <c r="H333" s="162">
        <v>0</v>
      </c>
      <c r="I333" s="162">
        <f t="shared" si="322"/>
        <v>72600</v>
      </c>
      <c r="J333" s="163">
        <f>IF(G333&gt;=Datos!$D$14,(Datos!$D$14*Datos!$C$14),IF(G333&lt;=Datos!$D$14,(G333*Datos!$C$14)))</f>
        <v>2083.62</v>
      </c>
      <c r="K333" s="164">
        <f>IF((G333-J333-L333)&lt;=Datos!$G$7,"0",IF((G333-J333-L333)&lt;=Datos!$G$8,((G333-J333-L333)-Datos!$F$8)*Datos!$I$6,IF((G333-J333-L333)&lt;=Datos!$G$9,Datos!$I$8+((G333-J333-L333)-Datos!$F$9)*Datos!$J$6,IF((G333-J333-L333)&gt;=Datos!$F$10,(Datos!$I$8+Datos!$J$8)+((G333-J333-L333)-Datos!$F$10)*Datos!$K$6))))</f>
        <v>5857.743666666669</v>
      </c>
      <c r="L333" s="163">
        <f>IF(G333&gt;=Datos!$D$15,(Datos!$D$15*Datos!$C$15),IF(G333&lt;=Datos!$D$15,(G333*Datos!$C$15)))</f>
        <v>2207.04</v>
      </c>
      <c r="M333" s="162">
        <v>3425</v>
      </c>
      <c r="N333" s="162">
        <f t="shared" si="323"/>
        <v>13573.403666666669</v>
      </c>
      <c r="O333" s="191">
        <f t="shared" si="324"/>
        <v>59026.596333333335</v>
      </c>
    </row>
    <row r="334" spans="1:16" ht="36.75" customHeight="1" x14ac:dyDescent="0.2">
      <c r="A334" s="225">
        <v>260</v>
      </c>
      <c r="B334" s="227" t="s">
        <v>38</v>
      </c>
      <c r="C334" s="227" t="s">
        <v>286</v>
      </c>
      <c r="D334" s="99" t="s">
        <v>1062</v>
      </c>
      <c r="E334" s="228" t="s">
        <v>280</v>
      </c>
      <c r="F334" s="228" t="s">
        <v>19</v>
      </c>
      <c r="G334" s="162">
        <v>90000</v>
      </c>
      <c r="H334" s="162">
        <v>0</v>
      </c>
      <c r="I334" s="162">
        <f t="shared" si="322"/>
        <v>90000</v>
      </c>
      <c r="J334" s="163">
        <f>IF(G334&gt;=Datos!$D$14,(Datos!$D$14*Datos!$C$14),IF(G334&lt;=Datos!$D$14,(G334*Datos!$C$14)))</f>
        <v>2583</v>
      </c>
      <c r="K334" s="164">
        <v>9753.1200000000008</v>
      </c>
      <c r="L334" s="163">
        <f>IF(G334&gt;=Datos!$D$15,(Datos!$D$15*Datos!$C$15),IF(G334&lt;=Datos!$D$15,(G334*Datos!$C$15)))</f>
        <v>2736</v>
      </c>
      <c r="M334" s="162">
        <v>25</v>
      </c>
      <c r="N334" s="162">
        <f>SUM(J334:M334)</f>
        <v>15097.12</v>
      </c>
      <c r="O334" s="191">
        <f>+G334-N334</f>
        <v>74902.880000000005</v>
      </c>
    </row>
    <row r="335" spans="1:16" ht="36.75" customHeight="1" x14ac:dyDescent="0.2">
      <c r="A335" s="225">
        <v>261</v>
      </c>
      <c r="B335" s="227" t="s">
        <v>86</v>
      </c>
      <c r="C335" s="227" t="s">
        <v>286</v>
      </c>
      <c r="D335" s="227" t="s">
        <v>646</v>
      </c>
      <c r="E335" s="228" t="s">
        <v>280</v>
      </c>
      <c r="F335" s="228" t="s">
        <v>281</v>
      </c>
      <c r="G335" s="162">
        <v>72600</v>
      </c>
      <c r="H335" s="162">
        <v>0</v>
      </c>
      <c r="I335" s="162">
        <f t="shared" si="322"/>
        <v>72600</v>
      </c>
      <c r="J335" s="163">
        <f>IF(G335&gt;=Datos!$D$14,(Datos!$D$14*Datos!$C$14),IF(G335&lt;=Datos!$D$14,(G335*Datos!$C$14)))</f>
        <v>2083.62</v>
      </c>
      <c r="K335" s="164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5857.743666666669</v>
      </c>
      <c r="L335" s="163">
        <f>IF(G335&gt;=Datos!$D$15,(Datos!$D$15*Datos!$C$15),IF(G335&lt;=Datos!$D$15,(G335*Datos!$C$15)))</f>
        <v>2207.04</v>
      </c>
      <c r="M335" s="162">
        <v>2025</v>
      </c>
      <c r="N335" s="162">
        <f t="shared" ref="N335" si="325">SUM(J335:M335)</f>
        <v>12173.403666666669</v>
      </c>
      <c r="O335" s="191">
        <f t="shared" ref="O335" si="326">+G335-N335</f>
        <v>60426.596333333335</v>
      </c>
    </row>
    <row r="336" spans="1:16" s="234" customFormat="1" ht="36.75" customHeight="1" x14ac:dyDescent="0.2">
      <c r="A336" s="277" t="s">
        <v>455</v>
      </c>
      <c r="B336" s="278"/>
      <c r="C336" s="232">
        <v>4</v>
      </c>
      <c r="D336" s="232"/>
      <c r="E336" s="233"/>
      <c r="F336" s="166"/>
      <c r="G336" s="167">
        <f>SUM(G332:G335)</f>
        <v>307800</v>
      </c>
      <c r="H336" s="167">
        <f t="shared" ref="H336:O336" si="327">SUM(H332:H335)</f>
        <v>0</v>
      </c>
      <c r="I336" s="167">
        <f t="shared" si="327"/>
        <v>307800</v>
      </c>
      <c r="J336" s="167">
        <f t="shared" si="327"/>
        <v>8833.86</v>
      </c>
      <c r="K336" s="167">
        <f t="shared" si="327"/>
        <v>27326.35100000001</v>
      </c>
      <c r="L336" s="167">
        <f t="shared" si="327"/>
        <v>9357.119999999999</v>
      </c>
      <c r="M336" s="167">
        <f t="shared" si="327"/>
        <v>6600</v>
      </c>
      <c r="N336" s="167">
        <f t="shared" si="327"/>
        <v>52117.331000000006</v>
      </c>
      <c r="O336" s="167">
        <f t="shared" si="327"/>
        <v>255682.66899999999</v>
      </c>
    </row>
    <row r="337" spans="1:15" ht="36.75" customHeight="1" x14ac:dyDescent="0.2">
      <c r="A337" s="277" t="s">
        <v>469</v>
      </c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9"/>
    </row>
    <row r="338" spans="1:15" ht="36.75" customHeight="1" x14ac:dyDescent="0.2">
      <c r="A338" s="225">
        <v>262</v>
      </c>
      <c r="B338" s="227" t="s">
        <v>67</v>
      </c>
      <c r="C338" s="227" t="s">
        <v>285</v>
      </c>
      <c r="D338" s="99" t="s">
        <v>451</v>
      </c>
      <c r="E338" s="228" t="s">
        <v>280</v>
      </c>
      <c r="F338" s="228" t="s">
        <v>19</v>
      </c>
      <c r="G338" s="162">
        <v>135000</v>
      </c>
      <c r="H338" s="162">
        <v>0</v>
      </c>
      <c r="I338" s="162">
        <f t="shared" ref="I338" si="328">SUM(G338:H338)</f>
        <v>135000</v>
      </c>
      <c r="J338" s="163">
        <f>IF(G338&gt;=Datos!$D$14,(Datos!$D$14*Datos!$C$14),IF(G338&lt;=Datos!$D$14,(G338*Datos!$C$14)))</f>
        <v>3874.5</v>
      </c>
      <c r="K338" s="164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20338.235666666667</v>
      </c>
      <c r="L338" s="163">
        <f>IF(G338&gt;=Datos!$D$15,(Datos!$D$15*Datos!$C$15),IF(G338&lt;=Datos!$D$15,(G338*Datos!$C$15)))</f>
        <v>4104</v>
      </c>
      <c r="M338" s="162">
        <v>25</v>
      </c>
      <c r="N338" s="162">
        <f t="shared" ref="N338" si="329">SUM(J338:M338)</f>
        <v>28341.735666666667</v>
      </c>
      <c r="O338" s="191">
        <f t="shared" ref="O338" si="330">+G338-N338</f>
        <v>106658.26433333333</v>
      </c>
    </row>
    <row r="339" spans="1:15" s="234" customFormat="1" ht="36.75" customHeight="1" x14ac:dyDescent="0.2">
      <c r="A339" s="277" t="s">
        <v>455</v>
      </c>
      <c r="B339" s="278"/>
      <c r="C339" s="232">
        <v>1</v>
      </c>
      <c r="D339" s="232"/>
      <c r="E339" s="233"/>
      <c r="F339" s="166"/>
      <c r="G339" s="167">
        <f>SUM(G338)</f>
        <v>135000</v>
      </c>
      <c r="H339" s="167">
        <f t="shared" ref="H339:O339" si="331">SUM(H338)</f>
        <v>0</v>
      </c>
      <c r="I339" s="167">
        <f t="shared" si="331"/>
        <v>135000</v>
      </c>
      <c r="J339" s="167">
        <f t="shared" si="331"/>
        <v>3874.5</v>
      </c>
      <c r="K339" s="167">
        <f t="shared" si="331"/>
        <v>20338.235666666667</v>
      </c>
      <c r="L339" s="167">
        <f t="shared" si="331"/>
        <v>4104</v>
      </c>
      <c r="M339" s="167">
        <f t="shared" si="331"/>
        <v>25</v>
      </c>
      <c r="N339" s="167">
        <f t="shared" si="331"/>
        <v>28341.735666666667</v>
      </c>
      <c r="O339" s="251">
        <f t="shared" si="331"/>
        <v>106658.26433333333</v>
      </c>
    </row>
    <row r="340" spans="1:15" ht="36.75" customHeight="1" x14ac:dyDescent="0.2">
      <c r="A340" s="277" t="s">
        <v>510</v>
      </c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9"/>
    </row>
    <row r="341" spans="1:15" ht="36.75" customHeight="1" x14ac:dyDescent="0.2">
      <c r="A341" s="225">
        <v>263</v>
      </c>
      <c r="B341" s="227" t="s">
        <v>827</v>
      </c>
      <c r="C341" s="227" t="s">
        <v>285</v>
      </c>
      <c r="D341" s="227" t="s">
        <v>237</v>
      </c>
      <c r="E341" s="228" t="s">
        <v>280</v>
      </c>
      <c r="F341" s="228" t="s">
        <v>19</v>
      </c>
      <c r="G341" s="162">
        <v>86711.63</v>
      </c>
      <c r="H341" s="162">
        <v>0</v>
      </c>
      <c r="I341" s="162">
        <f t="shared" ref="I341:I349" si="332">SUM(G341:H341)</f>
        <v>86711.63</v>
      </c>
      <c r="J341" s="163">
        <f>IF(G341&gt;=Datos!$D$14,(Datos!$D$14*Datos!$C$14),IF(G341&lt;=Datos!$D$14,(G341*Datos!$C$14)))</f>
        <v>2488.6237810000002</v>
      </c>
      <c r="K341" s="164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8979.6038334166697</v>
      </c>
      <c r="L341" s="163">
        <f>IF(G341&gt;=Datos!$D$15,(Datos!$D$15*Datos!$C$15),IF(G341&lt;=Datos!$D$15,(G341*Datos!$C$15)))</f>
        <v>2636.0335520000003</v>
      </c>
      <c r="M341" s="162">
        <v>25</v>
      </c>
      <c r="N341" s="162">
        <f t="shared" ref="N341:N346" si="333">SUM(J341:M341)</f>
        <v>14129.261166416671</v>
      </c>
      <c r="O341" s="191">
        <f t="shared" ref="O341:O346" si="334">+G341-N341</f>
        <v>72582.368833583329</v>
      </c>
    </row>
    <row r="342" spans="1:15" ht="36.75" customHeight="1" x14ac:dyDescent="0.2">
      <c r="A342" s="225">
        <v>264</v>
      </c>
      <c r="B342" s="226" t="s">
        <v>507</v>
      </c>
      <c r="C342" s="227" t="s">
        <v>285</v>
      </c>
      <c r="D342" s="226" t="s">
        <v>237</v>
      </c>
      <c r="E342" s="228" t="s">
        <v>280</v>
      </c>
      <c r="F342" s="228" t="s">
        <v>19</v>
      </c>
      <c r="G342" s="138">
        <v>78650</v>
      </c>
      <c r="H342" s="162">
        <v>0</v>
      </c>
      <c r="I342" s="162">
        <f t="shared" si="332"/>
        <v>78650</v>
      </c>
      <c r="J342" s="163">
        <f>IF(G342&gt;=Datos!$D$14,(Datos!$D$14*Datos!$C$14),IF(G342&lt;=Datos!$D$14,(G342*Datos!$C$14)))</f>
        <v>2257.2550000000001</v>
      </c>
      <c r="K342" s="164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7083.3069166666646</v>
      </c>
      <c r="L342" s="163">
        <f>IF(G342&gt;=Datos!$D$15,(Datos!$D$15*Datos!$C$15),IF(G342&lt;=Datos!$D$15,(G342*Datos!$C$15)))</f>
        <v>2390.96</v>
      </c>
      <c r="M342" s="162">
        <v>25</v>
      </c>
      <c r="N342" s="162">
        <f t="shared" si="333"/>
        <v>11756.521916666665</v>
      </c>
      <c r="O342" s="191">
        <f t="shared" si="334"/>
        <v>66893.478083333335</v>
      </c>
    </row>
    <row r="343" spans="1:15" ht="36.75" customHeight="1" x14ac:dyDescent="0.2">
      <c r="A343" s="225">
        <v>265</v>
      </c>
      <c r="B343" s="227" t="s">
        <v>180</v>
      </c>
      <c r="C343" s="227" t="s">
        <v>285</v>
      </c>
      <c r="D343" s="227" t="s">
        <v>254</v>
      </c>
      <c r="E343" s="228" t="s">
        <v>280</v>
      </c>
      <c r="F343" s="228" t="s">
        <v>19</v>
      </c>
      <c r="G343" s="162">
        <v>35000</v>
      </c>
      <c r="H343" s="162">
        <v>0</v>
      </c>
      <c r="I343" s="162">
        <f t="shared" si="332"/>
        <v>35000</v>
      </c>
      <c r="J343" s="163">
        <f>IF(G343&gt;=Datos!$D$14,(Datos!$D$14*Datos!$C$14),IF(G343&lt;=Datos!$D$14,(G343*Datos!$C$14)))</f>
        <v>1004.5</v>
      </c>
      <c r="K343" s="164" t="str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0</v>
      </c>
      <c r="L343" s="163">
        <f>IF(G343&gt;=Datos!$D$15,(Datos!$D$15*Datos!$C$15),IF(G343&lt;=Datos!$D$15,(G343*Datos!$C$15)))</f>
        <v>1064</v>
      </c>
      <c r="M343" s="162">
        <v>25</v>
      </c>
      <c r="N343" s="162">
        <f t="shared" si="333"/>
        <v>2093.5</v>
      </c>
      <c r="O343" s="191">
        <f t="shared" si="334"/>
        <v>32906.5</v>
      </c>
    </row>
    <row r="344" spans="1:15" ht="36.75" customHeight="1" x14ac:dyDescent="0.2">
      <c r="A344" s="225">
        <v>266</v>
      </c>
      <c r="B344" s="227" t="s">
        <v>31</v>
      </c>
      <c r="C344" s="227" t="s">
        <v>285</v>
      </c>
      <c r="D344" s="227" t="s">
        <v>238</v>
      </c>
      <c r="E344" s="228" t="s">
        <v>280</v>
      </c>
      <c r="F344" s="228" t="s">
        <v>281</v>
      </c>
      <c r="G344" s="162">
        <v>81324.100000000006</v>
      </c>
      <c r="H344" s="162">
        <v>0</v>
      </c>
      <c r="I344" s="162">
        <f t="shared" si="332"/>
        <v>81324.100000000006</v>
      </c>
      <c r="J344" s="163">
        <f>IF(G344&gt;=Datos!$D$14,(Datos!$D$14*Datos!$C$14),IF(G344&lt;=Datos!$D$14,(G344*Datos!$C$14)))</f>
        <v>2334.0016700000001</v>
      </c>
      <c r="K344" s="164">
        <v>6854.6</v>
      </c>
      <c r="L344" s="163">
        <f>IF(G344&gt;=Datos!$D$15,(Datos!$D$15*Datos!$C$15),IF(G344&lt;=Datos!$D$15,(G344*Datos!$C$15)))</f>
        <v>2472.2526400000002</v>
      </c>
      <c r="M344" s="162">
        <v>3455.92</v>
      </c>
      <c r="N344" s="162">
        <f t="shared" si="333"/>
        <v>15116.774310000001</v>
      </c>
      <c r="O344" s="191">
        <f t="shared" si="334"/>
        <v>66207.325689999998</v>
      </c>
    </row>
    <row r="345" spans="1:15" ht="36.75" customHeight="1" x14ac:dyDescent="0.2">
      <c r="A345" s="225">
        <v>267</v>
      </c>
      <c r="B345" s="99" t="s">
        <v>128</v>
      </c>
      <c r="C345" s="227" t="s">
        <v>285</v>
      </c>
      <c r="D345" s="227" t="s">
        <v>602</v>
      </c>
      <c r="E345" s="228" t="s">
        <v>280</v>
      </c>
      <c r="F345" s="228" t="s">
        <v>19</v>
      </c>
      <c r="G345" s="162">
        <v>86711.63</v>
      </c>
      <c r="H345" s="162">
        <v>0</v>
      </c>
      <c r="I345" s="162">
        <f t="shared" si="332"/>
        <v>86711.63</v>
      </c>
      <c r="J345" s="163">
        <f>IF(G345&gt;=Datos!$D$14,(Datos!$D$14*Datos!$C$14),IF(G345&lt;=Datos!$D$14,(G345*Datos!$C$14)))</f>
        <v>2488.6237810000002</v>
      </c>
      <c r="K345" s="164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8979.6038334166697</v>
      </c>
      <c r="L345" s="163">
        <f>IF(G345&gt;=Datos!$D$15,(Datos!$D$15*Datos!$C$15),IF(G345&lt;=Datos!$D$15,(G345*Datos!$C$15)))</f>
        <v>2636.0335520000003</v>
      </c>
      <c r="M345" s="162">
        <v>25</v>
      </c>
      <c r="N345" s="162">
        <f t="shared" si="333"/>
        <v>14129.261166416671</v>
      </c>
      <c r="O345" s="191">
        <f t="shared" si="334"/>
        <v>72582.368833583329</v>
      </c>
    </row>
    <row r="346" spans="1:15" ht="36.75" customHeight="1" x14ac:dyDescent="0.2">
      <c r="A346" s="225">
        <v>268</v>
      </c>
      <c r="B346" s="227" t="s">
        <v>195</v>
      </c>
      <c r="C346" s="227" t="s">
        <v>285</v>
      </c>
      <c r="D346" s="227" t="s">
        <v>242</v>
      </c>
      <c r="E346" s="228" t="s">
        <v>280</v>
      </c>
      <c r="F346" s="228" t="s">
        <v>19</v>
      </c>
      <c r="G346" s="162">
        <v>78650</v>
      </c>
      <c r="H346" s="162">
        <v>0</v>
      </c>
      <c r="I346" s="162">
        <f t="shared" si="332"/>
        <v>78650</v>
      </c>
      <c r="J346" s="163">
        <f>IF(G346&gt;=Datos!$D$14,(Datos!$D$14*Datos!$C$14),IF(G346&lt;=Datos!$D$14,(G346*Datos!$C$14)))</f>
        <v>2257.2550000000001</v>
      </c>
      <c r="K346" s="164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7083.3069166666646</v>
      </c>
      <c r="L346" s="163">
        <f>IF(G346&gt;=Datos!$D$15,(Datos!$D$15*Datos!$C$15),IF(G346&lt;=Datos!$D$15,(G346*Datos!$C$15)))</f>
        <v>2390.96</v>
      </c>
      <c r="M346" s="162">
        <v>25</v>
      </c>
      <c r="N346" s="162">
        <f t="shared" si="333"/>
        <v>11756.521916666665</v>
      </c>
      <c r="O346" s="191">
        <f t="shared" si="334"/>
        <v>66893.478083333335</v>
      </c>
    </row>
    <row r="347" spans="1:15" ht="36.75" customHeight="1" x14ac:dyDescent="0.2">
      <c r="A347" s="225">
        <v>269</v>
      </c>
      <c r="B347" s="227" t="s">
        <v>27</v>
      </c>
      <c r="C347" s="227" t="s">
        <v>285</v>
      </c>
      <c r="D347" s="227" t="s">
        <v>602</v>
      </c>
      <c r="E347" s="228" t="s">
        <v>280</v>
      </c>
      <c r="F347" s="228" t="s">
        <v>19</v>
      </c>
      <c r="G347" s="162">
        <v>81324.100000000006</v>
      </c>
      <c r="H347" s="162">
        <v>0</v>
      </c>
      <c r="I347" s="162">
        <f t="shared" si="332"/>
        <v>81324.100000000006</v>
      </c>
      <c r="J347" s="163">
        <f>IF(G347&gt;=Datos!$D$14,(Datos!$D$14*Datos!$C$14),IF(G347&lt;=Datos!$D$14,(G347*Datos!$C$14)))</f>
        <v>2334.0016700000001</v>
      </c>
      <c r="K347" s="164">
        <v>7283.47</v>
      </c>
      <c r="L347" s="163">
        <f>IF(G347&gt;=Datos!$D$15,(Datos!$D$15*Datos!$C$15),IF(G347&lt;=Datos!$D$15,(G347*Datos!$C$15)))</f>
        <v>2472.2526400000002</v>
      </c>
      <c r="M347" s="162">
        <v>1740.46</v>
      </c>
      <c r="N347" s="162">
        <f t="shared" ref="N347:N348" si="335">SUM(J347:M347)</f>
        <v>13830.184310000001</v>
      </c>
      <c r="O347" s="191">
        <f t="shared" ref="O347:O348" si="336">+G347-N347</f>
        <v>67493.915690000009</v>
      </c>
    </row>
    <row r="348" spans="1:15" ht="36.75" customHeight="1" x14ac:dyDescent="0.2">
      <c r="A348" s="225">
        <v>270</v>
      </c>
      <c r="B348" s="227" t="s">
        <v>39</v>
      </c>
      <c r="C348" s="227" t="s">
        <v>285</v>
      </c>
      <c r="D348" s="99" t="s">
        <v>242</v>
      </c>
      <c r="E348" s="228" t="s">
        <v>280</v>
      </c>
      <c r="F348" s="228" t="s">
        <v>19</v>
      </c>
      <c r="G348" s="162">
        <v>78650</v>
      </c>
      <c r="H348" s="162">
        <v>0</v>
      </c>
      <c r="I348" s="162">
        <f t="shared" si="332"/>
        <v>78650</v>
      </c>
      <c r="J348" s="163">
        <f>IF(G348&gt;=Datos!$D$14,(Datos!$D$14*Datos!$C$14),IF(G348&lt;=Datos!$D$14,(G348*Datos!$C$14)))</f>
        <v>2257.2550000000001</v>
      </c>
      <c r="K348" s="164">
        <f>IF((G348-J348-L348)&lt;=Datos!$G$7,"0",IF((G348-J348-L348)&lt;=Datos!$G$8,((G348-J348-L348)-Datos!$F$8)*Datos!$I$6,IF((G348-J348-L348)&lt;=Datos!$G$9,Datos!$I$8+((G348-J348-L348)-Datos!$F$9)*Datos!$J$6,IF((G348-J348-L348)&gt;=Datos!$F$10,(Datos!$I$8+Datos!$J$8)+((G348-J348-L348)-Datos!$F$10)*Datos!$K$6))))</f>
        <v>7083.3069166666646</v>
      </c>
      <c r="L348" s="163">
        <f>IF(G348&gt;=Datos!$D$15,(Datos!$D$15*Datos!$C$15),IF(G348&lt;=Datos!$D$15,(G348*Datos!$C$15)))</f>
        <v>2390.96</v>
      </c>
      <c r="M348" s="162">
        <v>25</v>
      </c>
      <c r="N348" s="162">
        <f t="shared" si="335"/>
        <v>11756.521916666665</v>
      </c>
      <c r="O348" s="191">
        <f t="shared" si="336"/>
        <v>66893.478083333335</v>
      </c>
    </row>
    <row r="349" spans="1:15" ht="36.75" customHeight="1" x14ac:dyDescent="0.2">
      <c r="A349" s="225">
        <v>271</v>
      </c>
      <c r="B349" s="227" t="s">
        <v>826</v>
      </c>
      <c r="C349" s="227" t="s">
        <v>285</v>
      </c>
      <c r="D349" s="227" t="s">
        <v>238</v>
      </c>
      <c r="E349" s="228" t="s">
        <v>280</v>
      </c>
      <c r="F349" s="228" t="s">
        <v>19</v>
      </c>
      <c r="G349" s="162">
        <v>78650</v>
      </c>
      <c r="H349" s="162">
        <v>0</v>
      </c>
      <c r="I349" s="162">
        <f t="shared" si="332"/>
        <v>78650</v>
      </c>
      <c r="J349" s="163">
        <f>IF(G349&gt;=Datos!$D$14,(Datos!$D$14*Datos!$C$14),IF(G349&lt;=Datos!$D$14,(G349*Datos!$C$14)))</f>
        <v>2257.2550000000001</v>
      </c>
      <c r="K349" s="164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7083.3069166666646</v>
      </c>
      <c r="L349" s="163">
        <f>IF(G349&gt;=Datos!$D$15,(Datos!$D$15*Datos!$C$15),IF(G349&lt;=Datos!$D$15,(G349*Datos!$C$15)))</f>
        <v>2390.96</v>
      </c>
      <c r="M349" s="162">
        <v>25</v>
      </c>
      <c r="N349" s="162">
        <f t="shared" ref="N349" si="337">SUM(J349:M349)</f>
        <v>11756.521916666665</v>
      </c>
      <c r="O349" s="191">
        <f t="shared" ref="O349" si="338">+G349-N349</f>
        <v>66893.478083333335</v>
      </c>
    </row>
    <row r="350" spans="1:15" s="234" customFormat="1" ht="36.75" customHeight="1" x14ac:dyDescent="0.2">
      <c r="A350" s="277" t="s">
        <v>455</v>
      </c>
      <c r="B350" s="278"/>
      <c r="C350" s="232">
        <v>9</v>
      </c>
      <c r="D350" s="232"/>
      <c r="E350" s="233"/>
      <c r="F350" s="166"/>
      <c r="G350" s="167">
        <f t="shared" ref="G350:O350" si="339">SUM(G341:G349)</f>
        <v>685671.46</v>
      </c>
      <c r="H350" s="167">
        <f t="shared" si="339"/>
        <v>0</v>
      </c>
      <c r="I350" s="167">
        <f t="shared" si="339"/>
        <v>685671.46</v>
      </c>
      <c r="J350" s="167">
        <f t="shared" si="339"/>
        <v>19678.770902</v>
      </c>
      <c r="K350" s="167">
        <f t="shared" si="339"/>
        <v>60430.505333499998</v>
      </c>
      <c r="L350" s="167">
        <f t="shared" si="339"/>
        <v>20844.412384000003</v>
      </c>
      <c r="M350" s="167">
        <f t="shared" si="339"/>
        <v>5371.38</v>
      </c>
      <c r="N350" s="167">
        <f t="shared" si="339"/>
        <v>106325.06861949999</v>
      </c>
      <c r="O350" s="167">
        <f t="shared" si="339"/>
        <v>579346.39138050005</v>
      </c>
    </row>
    <row r="351" spans="1:15" ht="36.75" customHeight="1" x14ac:dyDescent="0.2">
      <c r="A351" s="277" t="s">
        <v>511</v>
      </c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9"/>
    </row>
    <row r="352" spans="1:15" ht="36.75" customHeight="1" x14ac:dyDescent="0.2">
      <c r="A352" s="225">
        <v>272</v>
      </c>
      <c r="B352" s="136" t="s">
        <v>272</v>
      </c>
      <c r="C352" s="227" t="s">
        <v>285</v>
      </c>
      <c r="D352" s="226" t="s">
        <v>646</v>
      </c>
      <c r="E352" s="228" t="s">
        <v>280</v>
      </c>
      <c r="F352" s="228" t="s">
        <v>19</v>
      </c>
      <c r="G352" s="138">
        <f>42350+25000</f>
        <v>67350</v>
      </c>
      <c r="H352" s="162">
        <v>0</v>
      </c>
      <c r="I352" s="138">
        <f t="shared" ref="I352:I357" si="340">SUM(G352:H352)</f>
        <v>67350</v>
      </c>
      <c r="J352" s="163">
        <f>IF(G352&gt;=Datos!$D$14,(Datos!$D$14*Datos!$C$14),IF(G352&lt;=Datos!$D$14,(G352*Datos!$C$14)))</f>
        <v>1932.9449999999999</v>
      </c>
      <c r="K352" s="164">
        <f>517+4009.71</f>
        <v>4526.71</v>
      </c>
      <c r="L352" s="163">
        <f>IF(G352&gt;=Datos!$D$15,(Datos!$D$15*Datos!$C$15),IF(G352&lt;=Datos!$D$15,(G352*Datos!$C$15)))</f>
        <v>2047.44</v>
      </c>
      <c r="M352" s="162">
        <v>1740.46</v>
      </c>
      <c r="N352" s="162">
        <f t="shared" ref="N352:N357" si="341">SUM(J352:M352)</f>
        <v>10247.555</v>
      </c>
      <c r="O352" s="191">
        <f t="shared" ref="O352" si="342">+G352-N352</f>
        <v>57102.445</v>
      </c>
    </row>
    <row r="353" spans="1:16" ht="36.75" customHeight="1" x14ac:dyDescent="0.2">
      <c r="A353" s="225">
        <v>273</v>
      </c>
      <c r="B353" s="136" t="s">
        <v>828</v>
      </c>
      <c r="C353" s="227" t="s">
        <v>285</v>
      </c>
      <c r="D353" s="137" t="s">
        <v>646</v>
      </c>
      <c r="E353" s="228" t="s">
        <v>280</v>
      </c>
      <c r="F353" s="228" t="s">
        <v>19</v>
      </c>
      <c r="G353" s="138">
        <v>72600</v>
      </c>
      <c r="H353" s="162">
        <v>0</v>
      </c>
      <c r="I353" s="138">
        <f t="shared" si="340"/>
        <v>72600</v>
      </c>
      <c r="J353" s="163">
        <f>IF(G353&gt;=Datos!$D$14,(Datos!$D$14*Datos!$C$14),IF(G353&lt;=Datos!$D$14,(G353*Datos!$C$14)))</f>
        <v>2083.62</v>
      </c>
      <c r="K353" s="164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5857.743666666669</v>
      </c>
      <c r="L353" s="163">
        <f>IF(G353&gt;=Datos!$D$15,(Datos!$D$15*Datos!$C$15),IF(G353&lt;=Datos!$D$15,(G353*Datos!$C$15)))</f>
        <v>2207.04</v>
      </c>
      <c r="M353" s="162">
        <v>25</v>
      </c>
      <c r="N353" s="162">
        <f t="shared" si="341"/>
        <v>10173.403666666669</v>
      </c>
      <c r="O353" s="191">
        <f t="shared" ref="O353:O355" si="343">+G353-N353</f>
        <v>62426.596333333335</v>
      </c>
    </row>
    <row r="354" spans="1:16" ht="36.75" customHeight="1" x14ac:dyDescent="0.2">
      <c r="A354" s="225">
        <v>274</v>
      </c>
      <c r="B354" s="226" t="s">
        <v>357</v>
      </c>
      <c r="C354" s="227" t="s">
        <v>285</v>
      </c>
      <c r="D354" s="137" t="s">
        <v>1062</v>
      </c>
      <c r="E354" s="228" t="s">
        <v>280</v>
      </c>
      <c r="F354" s="228" t="s">
        <v>19</v>
      </c>
      <c r="G354" s="138">
        <v>120000</v>
      </c>
      <c r="H354" s="162">
        <v>0</v>
      </c>
      <c r="I354" s="138">
        <f t="shared" si="340"/>
        <v>120000</v>
      </c>
      <c r="J354" s="163">
        <f>IF(G354&gt;=Datos!$D$14,(Datos!$D$14*Datos!$C$14),IF(G354&lt;=Datos!$D$14,(G354*Datos!$C$14)))</f>
        <v>3444</v>
      </c>
      <c r="K354" s="164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16809.860666666667</v>
      </c>
      <c r="L354" s="163">
        <f>IF(G354&gt;=Datos!$D$15,(Datos!$D$15*Datos!$C$15),IF(G354&lt;=Datos!$D$15,(G354*Datos!$C$15)))</f>
        <v>3648</v>
      </c>
      <c r="M354" s="162">
        <v>25</v>
      </c>
      <c r="N354" s="162">
        <f t="shared" si="341"/>
        <v>23926.860666666667</v>
      </c>
      <c r="O354" s="191">
        <f t="shared" ref="O354" si="344">+G354-N354</f>
        <v>96073.139333333325</v>
      </c>
    </row>
    <row r="355" spans="1:16" ht="36.75" customHeight="1" x14ac:dyDescent="0.2">
      <c r="A355" s="225">
        <v>275</v>
      </c>
      <c r="B355" s="227" t="s">
        <v>235</v>
      </c>
      <c r="C355" s="227" t="s">
        <v>285</v>
      </c>
      <c r="D355" s="227" t="s">
        <v>646</v>
      </c>
      <c r="E355" s="228" t="s">
        <v>280</v>
      </c>
      <c r="F355" s="228" t="s">
        <v>19</v>
      </c>
      <c r="G355" s="162">
        <v>72600</v>
      </c>
      <c r="H355" s="162">
        <v>0</v>
      </c>
      <c r="I355" s="138">
        <f t="shared" si="340"/>
        <v>72600</v>
      </c>
      <c r="J355" s="163">
        <f>IF(G355&gt;=Datos!$D$14,(Datos!$D$14*Datos!$C$14),IF(G355&lt;=Datos!$D$14,(G355*Datos!$C$14)))</f>
        <v>2083.62</v>
      </c>
      <c r="K355" s="164">
        <f>IF((G355-J355-L355)&lt;=Datos!$G$7,"0",IF((G355-J355-L355)&lt;=Datos!$G$8,((G355-J355-L355)-Datos!$F$8)*Datos!$I$6,IF((G355-J355-L355)&lt;=Datos!$G$9,Datos!$I$8+((G355-J355-L355)-Datos!$F$9)*Datos!$J$6,IF((G355-J355-L355)&gt;=Datos!$F$10,(Datos!$I$8+Datos!$J$8)+((G355-J355-L355)-Datos!$F$10)*Datos!$K$6))))</f>
        <v>5857.743666666669</v>
      </c>
      <c r="L355" s="163">
        <f>IF(G355&gt;=Datos!$D$15,(Datos!$D$15*Datos!$C$15),IF(G355&lt;=Datos!$D$15,(G355*Datos!$C$15)))</f>
        <v>2207.04</v>
      </c>
      <c r="M355" s="162">
        <v>25</v>
      </c>
      <c r="N355" s="162">
        <f t="shared" si="341"/>
        <v>10173.403666666669</v>
      </c>
      <c r="O355" s="191">
        <f t="shared" si="343"/>
        <v>62426.596333333335</v>
      </c>
    </row>
    <row r="356" spans="1:16" ht="36.75" customHeight="1" x14ac:dyDescent="0.2">
      <c r="A356" s="225">
        <v>276</v>
      </c>
      <c r="B356" s="227" t="s">
        <v>829</v>
      </c>
      <c r="C356" s="227" t="s">
        <v>285</v>
      </c>
      <c r="D356" s="227" t="s">
        <v>452</v>
      </c>
      <c r="E356" s="228" t="s">
        <v>280</v>
      </c>
      <c r="F356" s="228" t="s">
        <v>19</v>
      </c>
      <c r="G356" s="162">
        <v>45000</v>
      </c>
      <c r="H356" s="162">
        <v>0</v>
      </c>
      <c r="I356" s="138">
        <f t="shared" si="340"/>
        <v>45000</v>
      </c>
      <c r="J356" s="163">
        <f>IF(G356&gt;=Datos!$D$14,(Datos!$D$14*Datos!$C$14),IF(G356&lt;=Datos!$D$14,(G356*Datos!$C$14)))</f>
        <v>1291.5</v>
      </c>
      <c r="K356" s="164">
        <f>IF((G356-J356-L356)&lt;=Datos!$G$7,"0",IF((G356-J356-L356)&lt;=Datos!$G$8,((G356-J356-L356)-Datos!$F$8)*Datos!$I$6,IF((G356-J356-L356)&lt;=Datos!$G$9,Datos!$I$8+((G356-J356-L356)-Datos!$F$9)*Datos!$J$6,IF((G356-J356-L356)&gt;=Datos!$F$10,(Datos!$I$8+Datos!$J$8)+((G356-J356-L356)-Datos!$F$10)*Datos!$K$6))))</f>
        <v>1148.3234999999997</v>
      </c>
      <c r="L356" s="163">
        <f>IF(G356&gt;=Datos!$D$15,(Datos!$D$15*Datos!$C$15),IF(G356&lt;=Datos!$D$15,(G356*Datos!$C$15)))</f>
        <v>1368</v>
      </c>
      <c r="M356" s="162">
        <v>25</v>
      </c>
      <c r="N356" s="162">
        <f t="shared" si="341"/>
        <v>3832.8234999999995</v>
      </c>
      <c r="O356" s="191">
        <f t="shared" ref="O356:O357" si="345">+G356-N356</f>
        <v>41167.176500000001</v>
      </c>
    </row>
    <row r="357" spans="1:16" ht="36.75" customHeight="1" x14ac:dyDescent="0.2">
      <c r="A357" s="225">
        <v>277</v>
      </c>
      <c r="B357" s="226" t="s">
        <v>830</v>
      </c>
      <c r="C357" s="227" t="s">
        <v>285</v>
      </c>
      <c r="D357" s="226" t="s">
        <v>646</v>
      </c>
      <c r="E357" s="228" t="s">
        <v>280</v>
      </c>
      <c r="F357" s="228" t="s">
        <v>19</v>
      </c>
      <c r="G357" s="138">
        <v>78650</v>
      </c>
      <c r="H357" s="162">
        <v>0</v>
      </c>
      <c r="I357" s="138">
        <f t="shared" si="340"/>
        <v>78650</v>
      </c>
      <c r="J357" s="163">
        <f>IF(G357&gt;=Datos!$D$14,(Datos!$D$14*Datos!$C$14),IF(G357&lt;=Datos!$D$14,(G357*Datos!$C$14)))</f>
        <v>2257.2550000000001</v>
      </c>
      <c r="K357" s="164">
        <v>6654.45</v>
      </c>
      <c r="L357" s="163">
        <f>IF(G357&gt;=Datos!$D$15,(Datos!$D$15*Datos!$C$15),IF(G357&lt;=Datos!$D$15,(G357*Datos!$C$15)))</f>
        <v>2390.96</v>
      </c>
      <c r="M357" s="162">
        <v>1740.46</v>
      </c>
      <c r="N357" s="162">
        <f t="shared" si="341"/>
        <v>13043.125</v>
      </c>
      <c r="O357" s="191">
        <f t="shared" si="345"/>
        <v>65606.875</v>
      </c>
    </row>
    <row r="358" spans="1:16" s="234" customFormat="1" ht="36.75" customHeight="1" x14ac:dyDescent="0.2">
      <c r="A358" s="277" t="s">
        <v>455</v>
      </c>
      <c r="B358" s="278"/>
      <c r="C358" s="232">
        <v>6</v>
      </c>
      <c r="D358" s="232"/>
      <c r="E358" s="233"/>
      <c r="F358" s="166"/>
      <c r="G358" s="167">
        <f>SUM(G352:G357)</f>
        <v>456200</v>
      </c>
      <c r="H358" s="167">
        <f t="shared" ref="H358:O358" si="346">SUM(H352:H357)</f>
        <v>0</v>
      </c>
      <c r="I358" s="167">
        <f t="shared" si="346"/>
        <v>456200</v>
      </c>
      <c r="J358" s="167">
        <f t="shared" si="346"/>
        <v>13092.939999999999</v>
      </c>
      <c r="K358" s="167">
        <f t="shared" si="346"/>
        <v>40854.8315</v>
      </c>
      <c r="L358" s="167">
        <f t="shared" si="346"/>
        <v>13868.48</v>
      </c>
      <c r="M358" s="167">
        <f t="shared" si="346"/>
        <v>3580.92</v>
      </c>
      <c r="N358" s="167">
        <f t="shared" si="346"/>
        <v>71397.171499999997</v>
      </c>
      <c r="O358" s="167">
        <f t="shared" si="346"/>
        <v>384802.8285</v>
      </c>
    </row>
    <row r="359" spans="1:16" ht="36.75" customHeight="1" x14ac:dyDescent="0.2">
      <c r="A359" s="277" t="s">
        <v>600</v>
      </c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9"/>
    </row>
    <row r="360" spans="1:16" ht="36.75" customHeight="1" x14ac:dyDescent="0.2">
      <c r="A360" s="225">
        <v>278</v>
      </c>
      <c r="B360" s="227" t="s">
        <v>768</v>
      </c>
      <c r="C360" s="227" t="s">
        <v>332</v>
      </c>
      <c r="D360" s="227" t="s">
        <v>238</v>
      </c>
      <c r="E360" s="228" t="s">
        <v>280</v>
      </c>
      <c r="F360" s="228" t="s">
        <v>19</v>
      </c>
      <c r="G360" s="162">
        <v>82582.5</v>
      </c>
      <c r="H360" s="162">
        <v>0</v>
      </c>
      <c r="I360" s="162">
        <f t="shared" ref="I360:I366" si="347">SUM(G360:H360)</f>
        <v>82582.5</v>
      </c>
      <c r="J360" s="163">
        <f>IF(G360&gt;=Datos!$D$14,(Datos!$D$14*Datos!$C$14),IF(G360&lt;=Datos!$D$14,(G360*Datos!$C$14)))</f>
        <v>2370.1177499999999</v>
      </c>
      <c r="K360" s="164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8008.3292291666658</v>
      </c>
      <c r="L360" s="163">
        <f>IF(G360&gt;=Datos!$D$15,(Datos!$D$15*Datos!$C$15),IF(G360&lt;=Datos!$D$15,(G360*Datos!$C$15)))</f>
        <v>2510.5079999999998</v>
      </c>
      <c r="M360" s="162">
        <v>25</v>
      </c>
      <c r="N360" s="162">
        <f t="shared" ref="N360" si="348">SUM(J360:M360)</f>
        <v>12913.954979166665</v>
      </c>
      <c r="O360" s="191">
        <f t="shared" ref="O360" si="349">+G360-N360</f>
        <v>69668.545020833335</v>
      </c>
    </row>
    <row r="361" spans="1:16" ht="36.75" customHeight="1" x14ac:dyDescent="0.2">
      <c r="A361" s="225">
        <v>279</v>
      </c>
      <c r="B361" s="227" t="s">
        <v>833</v>
      </c>
      <c r="C361" s="227" t="s">
        <v>332</v>
      </c>
      <c r="D361" s="227" t="s">
        <v>254</v>
      </c>
      <c r="E361" s="228" t="s">
        <v>280</v>
      </c>
      <c r="F361" s="228" t="s">
        <v>19</v>
      </c>
      <c r="G361" s="162">
        <v>35000</v>
      </c>
      <c r="H361" s="162">
        <v>0</v>
      </c>
      <c r="I361" s="162">
        <f t="shared" si="347"/>
        <v>35000</v>
      </c>
      <c r="J361" s="163">
        <f>IF(G361&gt;=Datos!$D$14,(Datos!$D$14*Datos!$C$14),IF(G361&lt;=Datos!$D$14,(G361*Datos!$C$14)))</f>
        <v>1004.5</v>
      </c>
      <c r="K361" s="164" t="str">
        <f>IF((G361-J361-L361)&lt;=Datos!$G$7,"0",IF((G361-J361-L361)&lt;=Datos!$G$8,((G361-J361-L361)-Datos!$F$8)*Datos!$I$6,IF((G361-J361-L361)&lt;=Datos!$G$9,Datos!$I$8+((G361-J361-L361)-Datos!$F$9)*Datos!$J$6,IF((G361-J361-L361)&gt;=Datos!$F$10,(Datos!$I$8+Datos!$J$8)+((G361-J361-L361)-Datos!$F$10)*Datos!$K$6))))</f>
        <v>0</v>
      </c>
      <c r="L361" s="163">
        <f>IF(G361&gt;=Datos!$D$15,(Datos!$D$15*Datos!$C$15),IF(G361&lt;=Datos!$D$15,(G361*Datos!$C$15)))</f>
        <v>1064</v>
      </c>
      <c r="M361" s="162">
        <v>25</v>
      </c>
      <c r="N361" s="162">
        <f t="shared" ref="N361" si="350">SUM(J361:M361)</f>
        <v>2093.5</v>
      </c>
      <c r="O361" s="191">
        <f t="shared" ref="O361" si="351">+G361-N361</f>
        <v>32906.5</v>
      </c>
    </row>
    <row r="362" spans="1:16" ht="36.75" customHeight="1" x14ac:dyDescent="0.2">
      <c r="A362" s="225">
        <v>280</v>
      </c>
      <c r="B362" s="227" t="s">
        <v>350</v>
      </c>
      <c r="C362" s="227" t="s">
        <v>332</v>
      </c>
      <c r="D362" s="227" t="s">
        <v>602</v>
      </c>
      <c r="E362" s="228" t="s">
        <v>280</v>
      </c>
      <c r="F362" s="228" t="s">
        <v>19</v>
      </c>
      <c r="G362" s="162">
        <v>66550</v>
      </c>
      <c r="H362" s="162">
        <v>0</v>
      </c>
      <c r="I362" s="162">
        <f t="shared" si="347"/>
        <v>66550</v>
      </c>
      <c r="J362" s="163">
        <f>IF(G362&gt;=Datos!$D$14,(Datos!$D$14*Datos!$C$14),IF(G362&lt;=Datos!$D$14,(G362*Datos!$C$14)))</f>
        <v>1909.9849999999999</v>
      </c>
      <c r="K362" s="164">
        <f>IF((G362-J362-L362)&lt;=Datos!$G$7,"0",IF((G362-J362-L362)&lt;=Datos!$G$8,((G362-J362-L362)-Datos!$F$8)*Datos!$I$6,IF((G362-J362-L362)&lt;=Datos!$G$9,Datos!$I$8+((G362-J362-L362)-Datos!$F$9)*Datos!$J$6,IF((G362-J362-L362)&gt;=Datos!$F$10,(Datos!$I$8+Datos!$J$8)+((G362-J362-L362)-Datos!$F$10)*Datos!$K$6))))</f>
        <v>4719.2546666666658</v>
      </c>
      <c r="L362" s="163">
        <f>IF(G362&gt;=Datos!$D$15,(Datos!$D$15*Datos!$C$15),IF(G362&lt;=Datos!$D$15,(G362*Datos!$C$15)))</f>
        <v>2023.12</v>
      </c>
      <c r="M362" s="162">
        <v>25</v>
      </c>
      <c r="N362" s="162">
        <f t="shared" ref="N362:N365" si="352">SUM(J362:M362)</f>
        <v>8677.3596666666654</v>
      </c>
      <c r="O362" s="191">
        <f t="shared" ref="O362:O365" si="353">+G362-N362</f>
        <v>57872.640333333336</v>
      </c>
    </row>
    <row r="363" spans="1:16" ht="36.75" customHeight="1" x14ac:dyDescent="0.2">
      <c r="A363" s="225">
        <v>281</v>
      </c>
      <c r="B363" s="227" t="s">
        <v>521</v>
      </c>
      <c r="C363" s="227" t="s">
        <v>332</v>
      </c>
      <c r="D363" s="227" t="s">
        <v>238</v>
      </c>
      <c r="E363" s="228" t="s">
        <v>280</v>
      </c>
      <c r="F363" s="228" t="s">
        <v>281</v>
      </c>
      <c r="G363" s="162">
        <v>82582.5</v>
      </c>
      <c r="H363" s="162">
        <v>0</v>
      </c>
      <c r="I363" s="162">
        <f t="shared" si="347"/>
        <v>82582.5</v>
      </c>
      <c r="J363" s="163">
        <f>IF(G363&gt;=Datos!$D$14,(Datos!$D$14*Datos!$C$14),IF(G363&lt;=Datos!$D$14,(G363*Datos!$C$14)))</f>
        <v>2370.1177499999999</v>
      </c>
      <c r="K363" s="164">
        <f>IF((G363-J363-L363)&lt;=Datos!$G$7,"0",IF((G363-J363-L363)&lt;=Datos!$G$8,((G363-J363-L363)-Datos!$F$8)*Datos!$I$6,IF((G363-J363-L363)&lt;=Datos!$G$9,Datos!$I$8+((G363-J363-L363)-Datos!$F$9)*Datos!$J$6,IF((G363-J363-L363)&gt;=Datos!$F$10,(Datos!$I$8+Datos!$J$8)+((G363-J363-L363)-Datos!$F$10)*Datos!$K$6))))</f>
        <v>8008.3292291666658</v>
      </c>
      <c r="L363" s="163">
        <f>IF(G363&gt;=Datos!$D$15,(Datos!$D$15*Datos!$C$15),IF(G363&lt;=Datos!$D$15,(G363*Datos!$C$15)))</f>
        <v>2510.5079999999998</v>
      </c>
      <c r="M363" s="162">
        <v>25</v>
      </c>
      <c r="N363" s="162">
        <f t="shared" si="352"/>
        <v>12913.954979166665</v>
      </c>
      <c r="O363" s="191">
        <f t="shared" si="353"/>
        <v>69668.545020833335</v>
      </c>
    </row>
    <row r="364" spans="1:16" ht="36.75" customHeight="1" x14ac:dyDescent="0.2">
      <c r="A364" s="225">
        <v>282</v>
      </c>
      <c r="B364" s="226" t="s">
        <v>831</v>
      </c>
      <c r="C364" s="227" t="s">
        <v>332</v>
      </c>
      <c r="D364" s="226" t="s">
        <v>245</v>
      </c>
      <c r="E364" s="228" t="s">
        <v>280</v>
      </c>
      <c r="F364" s="228" t="s">
        <v>19</v>
      </c>
      <c r="G364" s="138">
        <v>40440.660000000003</v>
      </c>
      <c r="H364" s="162">
        <v>0</v>
      </c>
      <c r="I364" s="162">
        <f t="shared" si="347"/>
        <v>40440.660000000003</v>
      </c>
      <c r="J364" s="163">
        <f>IF(G364&gt;=Datos!$D$14,(Datos!$D$14*Datos!$C$14),IF(G364&lt;=Datos!$D$14,(G364*Datos!$C$14)))</f>
        <v>1160.6469420000001</v>
      </c>
      <c r="K364" s="164">
        <f>IF((G364-J364-L364)&lt;=Datos!$G$7,"0",IF((G364-J364-L364)&lt;=Datos!$G$8,((G364-J364-L364)-Datos!$F$8)*Datos!$I$6,IF((G364-J364-L364)&lt;=Datos!$G$9,Datos!$I$8+((G364-J364-L364)-Datos!$F$9)*Datos!$J$6,IF((G364-J364-L364)&gt;=Datos!$F$10,(Datos!$I$8+Datos!$J$8)+((G364-J364-L364)-Datos!$F$10)*Datos!$K$6))))</f>
        <v>504.84104910000019</v>
      </c>
      <c r="L364" s="163">
        <f>IF(G364&gt;=Datos!$D$15,(Datos!$D$15*Datos!$C$15),IF(G364&lt;=Datos!$D$15,(G364*Datos!$C$15)))</f>
        <v>1229.396064</v>
      </c>
      <c r="M364" s="162">
        <v>25</v>
      </c>
      <c r="N364" s="162">
        <f t="shared" si="352"/>
        <v>2919.8840551000003</v>
      </c>
      <c r="O364" s="191">
        <f t="shared" si="353"/>
        <v>37520.7759449</v>
      </c>
    </row>
    <row r="365" spans="1:16" ht="36.75" customHeight="1" x14ac:dyDescent="0.2">
      <c r="A365" s="225">
        <v>283</v>
      </c>
      <c r="B365" s="227" t="s">
        <v>832</v>
      </c>
      <c r="C365" s="227" t="s">
        <v>332</v>
      </c>
      <c r="D365" s="227" t="s">
        <v>602</v>
      </c>
      <c r="E365" s="228" t="s">
        <v>280</v>
      </c>
      <c r="F365" s="228" t="s">
        <v>19</v>
      </c>
      <c r="G365" s="162">
        <v>66550</v>
      </c>
      <c r="H365" s="162">
        <v>0</v>
      </c>
      <c r="I365" s="162">
        <f t="shared" si="347"/>
        <v>66550</v>
      </c>
      <c r="J365" s="163">
        <f>IF(G365&gt;=Datos!$D$14,(Datos!$D$14*Datos!$C$14),IF(G365&lt;=Datos!$D$14,(G365*Datos!$C$14)))</f>
        <v>1909.9849999999999</v>
      </c>
      <c r="K365" s="164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4719.2546666666658</v>
      </c>
      <c r="L365" s="163">
        <f>IF(G365&gt;=Datos!$D$15,(Datos!$D$15*Datos!$C$15),IF(G365&lt;=Datos!$D$15,(G365*Datos!$C$15)))</f>
        <v>2023.12</v>
      </c>
      <c r="M365" s="162">
        <v>25</v>
      </c>
      <c r="N365" s="162">
        <f t="shared" si="352"/>
        <v>8677.3596666666654</v>
      </c>
      <c r="O365" s="191">
        <f t="shared" si="353"/>
        <v>57872.640333333336</v>
      </c>
    </row>
    <row r="366" spans="1:16" ht="36.75" customHeight="1" x14ac:dyDescent="0.2">
      <c r="A366" s="225">
        <v>284</v>
      </c>
      <c r="B366" s="226" t="s">
        <v>1053</v>
      </c>
      <c r="C366" s="227" t="s">
        <v>332</v>
      </c>
      <c r="D366" s="226" t="s">
        <v>1054</v>
      </c>
      <c r="E366" s="228" t="s">
        <v>280</v>
      </c>
      <c r="F366" s="228" t="s">
        <v>19</v>
      </c>
      <c r="G366" s="138">
        <f>85800+34200</f>
        <v>120000</v>
      </c>
      <c r="H366" s="162">
        <v>0</v>
      </c>
      <c r="I366" s="162">
        <f t="shared" si="347"/>
        <v>120000</v>
      </c>
      <c r="J366" s="163">
        <f>IF(G366&gt;=Datos!$D$14,(Datos!$D$14*Datos!$C$14),IF(G366&lt;=Datos!$D$14,(G366*Datos!$C$14)))</f>
        <v>3444</v>
      </c>
      <c r="K366" s="164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16809.860666666667</v>
      </c>
      <c r="L366" s="163">
        <f>IF(G366&gt;=Datos!$D$15,(Datos!$D$15*Datos!$C$15),IF(G366&lt;=Datos!$D$15,(G366*Datos!$C$15)))</f>
        <v>3648</v>
      </c>
      <c r="M366" s="162">
        <v>25</v>
      </c>
      <c r="N366" s="162">
        <f t="shared" ref="N366" si="354">SUM(J366:M366)</f>
        <v>23926.860666666667</v>
      </c>
      <c r="O366" s="191">
        <f t="shared" ref="O366" si="355">+G366-N366</f>
        <v>96073.139333333325</v>
      </c>
    </row>
    <row r="367" spans="1:16" s="234" customFormat="1" ht="36.75" customHeight="1" x14ac:dyDescent="0.2">
      <c r="A367" s="277" t="s">
        <v>455</v>
      </c>
      <c r="B367" s="278"/>
      <c r="C367" s="232">
        <v>7</v>
      </c>
      <c r="D367" s="232"/>
      <c r="E367" s="233"/>
      <c r="F367" s="166"/>
      <c r="G367" s="167">
        <f t="shared" ref="G367:O367" si="356">SUM(G360:G366)</f>
        <v>493705.66000000003</v>
      </c>
      <c r="H367" s="167">
        <f t="shared" si="356"/>
        <v>0</v>
      </c>
      <c r="I367" s="167">
        <f t="shared" si="356"/>
        <v>493705.66000000003</v>
      </c>
      <c r="J367" s="167">
        <f t="shared" si="356"/>
        <v>14169.352441999999</v>
      </c>
      <c r="K367" s="167">
        <f t="shared" si="356"/>
        <v>42769.86950743333</v>
      </c>
      <c r="L367" s="167">
        <f t="shared" si="356"/>
        <v>15008.652063999998</v>
      </c>
      <c r="M367" s="167">
        <f t="shared" si="356"/>
        <v>175</v>
      </c>
      <c r="N367" s="167">
        <f t="shared" si="356"/>
        <v>72122.87401343332</v>
      </c>
      <c r="O367" s="167">
        <f t="shared" si="356"/>
        <v>421582.78598656668</v>
      </c>
    </row>
    <row r="368" spans="1:16" ht="37.5" customHeight="1" x14ac:dyDescent="0.2">
      <c r="A368" s="277" t="s">
        <v>601</v>
      </c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9"/>
      <c r="P368" s="234"/>
    </row>
    <row r="369" spans="1:15" ht="36.75" customHeight="1" x14ac:dyDescent="0.2">
      <c r="A369" s="225">
        <v>285</v>
      </c>
      <c r="B369" s="227" t="s">
        <v>954</v>
      </c>
      <c r="C369" s="227" t="s">
        <v>332</v>
      </c>
      <c r="D369" s="227" t="s">
        <v>646</v>
      </c>
      <c r="E369" s="228" t="s">
        <v>280</v>
      </c>
      <c r="F369" s="228" t="s">
        <v>19</v>
      </c>
      <c r="G369" s="162">
        <v>60000</v>
      </c>
      <c r="H369" s="162">
        <v>0</v>
      </c>
      <c r="I369" s="162">
        <f>SUM(G369:H369)</f>
        <v>60000</v>
      </c>
      <c r="J369" s="163">
        <f>IF(G369&gt;=Datos!$D$14,(Datos!$D$14*Datos!$C$14),IF(G369&lt;=Datos!$D$14,(G369*Datos!$C$14)))</f>
        <v>1722</v>
      </c>
      <c r="K369" s="164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3486.6756666666661</v>
      </c>
      <c r="L369" s="163">
        <f>IF(G369&gt;=Datos!$D$15,(Datos!$D$15*Datos!$C$15),IF(G369&lt;=Datos!$D$15,(G369*Datos!$C$15)))</f>
        <v>1824</v>
      </c>
      <c r="M369" s="162">
        <v>25</v>
      </c>
      <c r="N369" s="162">
        <f t="shared" ref="N369:N371" si="357">SUM(J369:M369)</f>
        <v>7057.6756666666661</v>
      </c>
      <c r="O369" s="191">
        <f t="shared" ref="O369:O371" si="358">+G369-N369</f>
        <v>52942.324333333338</v>
      </c>
    </row>
    <row r="370" spans="1:15" ht="36.75" customHeight="1" x14ac:dyDescent="0.2">
      <c r="A370" s="225">
        <v>286</v>
      </c>
      <c r="B370" s="226" t="s">
        <v>614</v>
      </c>
      <c r="C370" s="227" t="s">
        <v>332</v>
      </c>
      <c r="D370" s="226" t="s">
        <v>646</v>
      </c>
      <c r="E370" s="228" t="s">
        <v>280</v>
      </c>
      <c r="F370" s="228" t="s">
        <v>19</v>
      </c>
      <c r="G370" s="138">
        <f>35000+25000</f>
        <v>60000</v>
      </c>
      <c r="H370" s="162">
        <v>0</v>
      </c>
      <c r="I370" s="162">
        <f t="shared" ref="I370:I372" si="359">SUM(G370:H370)</f>
        <v>60000</v>
      </c>
      <c r="J370" s="163">
        <f>IF(G370&gt;=Datos!$D$14,(Datos!$D$14*Datos!$C$14),IF(G370&lt;=Datos!$D$14,(G370*Datos!$C$14)))</f>
        <v>1722</v>
      </c>
      <c r="K370" s="164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3486.6756666666661</v>
      </c>
      <c r="L370" s="163">
        <f>IF(G370&gt;=Datos!$D$15,(Datos!$D$15*Datos!$C$15),IF(G370&lt;=Datos!$D$15,(G370*Datos!$C$15)))</f>
        <v>1824</v>
      </c>
      <c r="M370" s="162">
        <v>25</v>
      </c>
      <c r="N370" s="162">
        <f t="shared" si="357"/>
        <v>7057.6756666666661</v>
      </c>
      <c r="O370" s="191">
        <f t="shared" si="358"/>
        <v>52942.324333333338</v>
      </c>
    </row>
    <row r="371" spans="1:15" ht="36.75" customHeight="1" x14ac:dyDescent="0.2">
      <c r="A371" s="225">
        <v>287</v>
      </c>
      <c r="B371" s="227" t="s">
        <v>834</v>
      </c>
      <c r="C371" s="227" t="s">
        <v>332</v>
      </c>
      <c r="D371" s="227" t="s">
        <v>646</v>
      </c>
      <c r="E371" s="228" t="s">
        <v>280</v>
      </c>
      <c r="F371" s="228" t="s">
        <v>19</v>
      </c>
      <c r="G371" s="162">
        <v>72600</v>
      </c>
      <c r="H371" s="162">
        <v>0</v>
      </c>
      <c r="I371" s="162">
        <f t="shared" si="359"/>
        <v>72600</v>
      </c>
      <c r="J371" s="163">
        <f>IF(G371&gt;=Datos!$D$14,(Datos!$D$14*Datos!$C$14),IF(G371&lt;=Datos!$D$14,(G371*Datos!$C$14)))</f>
        <v>2083.62</v>
      </c>
      <c r="K371" s="164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5857.743666666669</v>
      </c>
      <c r="L371" s="163">
        <f>IF(G371&gt;=Datos!$D$15,(Datos!$D$15*Datos!$C$15),IF(G371&lt;=Datos!$D$15,(G371*Datos!$C$15)))</f>
        <v>2207.04</v>
      </c>
      <c r="M371" s="162">
        <v>25</v>
      </c>
      <c r="N371" s="162">
        <f t="shared" si="357"/>
        <v>10173.403666666669</v>
      </c>
      <c r="O371" s="191">
        <f t="shared" si="358"/>
        <v>62426.596333333335</v>
      </c>
    </row>
    <row r="372" spans="1:15" ht="36.75" customHeight="1" x14ac:dyDescent="0.2">
      <c r="A372" s="225">
        <v>288</v>
      </c>
      <c r="B372" s="227" t="s">
        <v>51</v>
      </c>
      <c r="C372" s="227" t="s">
        <v>332</v>
      </c>
      <c r="D372" s="227" t="s">
        <v>452</v>
      </c>
      <c r="E372" s="228" t="s">
        <v>280</v>
      </c>
      <c r="F372" s="228" t="s">
        <v>19</v>
      </c>
      <c r="G372" s="162">
        <v>55000</v>
      </c>
      <c r="H372" s="162">
        <v>0</v>
      </c>
      <c r="I372" s="162">
        <f t="shared" si="359"/>
        <v>55000</v>
      </c>
      <c r="J372" s="163">
        <f>IF(G372&gt;=Datos!$D$14,(Datos!$D$14*Datos!$C$14),IF(G372&lt;=Datos!$D$14,(G372*Datos!$C$14)))</f>
        <v>1578.5</v>
      </c>
      <c r="K372" s="164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2559.6734999999994</v>
      </c>
      <c r="L372" s="163">
        <f>IF(G372&gt;=Datos!$D$15,(Datos!$D$15*Datos!$C$15),IF(G372&lt;=Datos!$D$15,(G372*Datos!$C$15)))</f>
        <v>1672</v>
      </c>
      <c r="M372" s="162">
        <v>14050.83</v>
      </c>
      <c r="N372" s="162">
        <f t="shared" ref="N372:N374" si="360">SUM(J372:M372)</f>
        <v>19861.003499999999</v>
      </c>
      <c r="O372" s="191">
        <f t="shared" ref="O372:O374" si="361">+G372-N372</f>
        <v>35138.996500000001</v>
      </c>
    </row>
    <row r="373" spans="1:15" ht="36.75" customHeight="1" x14ac:dyDescent="0.2">
      <c r="A373" s="225">
        <v>289</v>
      </c>
      <c r="B373" s="227" t="s">
        <v>117</v>
      </c>
      <c r="C373" s="227" t="s">
        <v>332</v>
      </c>
      <c r="D373" s="99" t="s">
        <v>1062</v>
      </c>
      <c r="E373" s="228" t="s">
        <v>280</v>
      </c>
      <c r="F373" s="228" t="s">
        <v>281</v>
      </c>
      <c r="G373" s="162">
        <f>90000+30000</f>
        <v>120000</v>
      </c>
      <c r="H373" s="162">
        <v>0</v>
      </c>
      <c r="I373" s="162">
        <f t="shared" ref="I373" si="362">SUM(G373:H373)</f>
        <v>120000</v>
      </c>
      <c r="J373" s="163">
        <f>IF(G373&gt;=Datos!$D$14,(Datos!$D$14*Datos!$C$14),IF(G373&lt;=Datos!$D$14,(G373*Datos!$C$14)))</f>
        <v>3444</v>
      </c>
      <c r="K373" s="164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16809.860666666667</v>
      </c>
      <c r="L373" s="163">
        <f>IF(G373&gt;=Datos!$D$15,(Datos!$D$15*Datos!$C$15),IF(G373&lt;=Datos!$D$15,(G373*Datos!$C$15)))</f>
        <v>3648</v>
      </c>
      <c r="M373" s="162">
        <v>25</v>
      </c>
      <c r="N373" s="162">
        <f t="shared" ref="N373" si="363">SUM(J373:M373)</f>
        <v>23926.860666666667</v>
      </c>
      <c r="O373" s="191">
        <f t="shared" ref="O373" si="364">+G373-N373</f>
        <v>96073.139333333325</v>
      </c>
    </row>
    <row r="374" spans="1:15" ht="36.75" customHeight="1" x14ac:dyDescent="0.2">
      <c r="A374" s="225">
        <v>290</v>
      </c>
      <c r="B374" s="227" t="s">
        <v>335</v>
      </c>
      <c r="C374" s="227" t="s">
        <v>332</v>
      </c>
      <c r="D374" s="227" t="s">
        <v>646</v>
      </c>
      <c r="E374" s="228" t="s">
        <v>280</v>
      </c>
      <c r="F374" s="228" t="s">
        <v>19</v>
      </c>
      <c r="G374" s="162">
        <v>72600</v>
      </c>
      <c r="H374" s="162">
        <v>0</v>
      </c>
      <c r="I374" s="162">
        <v>72600</v>
      </c>
      <c r="J374" s="163">
        <f>IF(G374&gt;=Datos!$D$14,(Datos!$D$14*Datos!$C$14),IF(G374&lt;=Datos!$D$14,(G374*Datos!$C$14)))</f>
        <v>2083.62</v>
      </c>
      <c r="K374" s="164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5857.743666666669</v>
      </c>
      <c r="L374" s="163">
        <f>IF(G374&gt;=Datos!$D$15,(Datos!$D$15*Datos!$C$15),IF(G374&lt;=Datos!$D$15,(G374*Datos!$C$15)))</f>
        <v>2207.04</v>
      </c>
      <c r="M374" s="162">
        <v>25</v>
      </c>
      <c r="N374" s="162">
        <f t="shared" si="360"/>
        <v>10173.403666666669</v>
      </c>
      <c r="O374" s="191">
        <f t="shared" si="361"/>
        <v>62426.596333333335</v>
      </c>
    </row>
    <row r="375" spans="1:15" s="234" customFormat="1" ht="36.75" customHeight="1" x14ac:dyDescent="0.2">
      <c r="A375" s="277" t="s">
        <v>455</v>
      </c>
      <c r="B375" s="278"/>
      <c r="C375" s="232">
        <v>5</v>
      </c>
      <c r="D375" s="232"/>
      <c r="E375" s="233"/>
      <c r="F375" s="166"/>
      <c r="G375" s="167">
        <f>SUM(G369:G374)</f>
        <v>440200</v>
      </c>
      <c r="H375" s="167">
        <f t="shared" ref="H375:O375" si="365">SUM(H369:H374)</f>
        <v>0</v>
      </c>
      <c r="I375" s="167">
        <f t="shared" si="365"/>
        <v>440200</v>
      </c>
      <c r="J375" s="167">
        <f t="shared" si="365"/>
        <v>12633.739999999998</v>
      </c>
      <c r="K375" s="167">
        <f t="shared" si="365"/>
        <v>38058.372833333335</v>
      </c>
      <c r="L375" s="167">
        <f t="shared" si="365"/>
        <v>13382.080000000002</v>
      </c>
      <c r="M375" s="167">
        <f t="shared" si="365"/>
        <v>14175.83</v>
      </c>
      <c r="N375" s="167">
        <f t="shared" si="365"/>
        <v>78250.022833333336</v>
      </c>
      <c r="O375" s="167">
        <f t="shared" si="365"/>
        <v>361949.97716666671</v>
      </c>
    </row>
    <row r="376" spans="1:15" ht="36.75" customHeight="1" x14ac:dyDescent="0.2">
      <c r="A376" s="277" t="s">
        <v>513</v>
      </c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9"/>
    </row>
    <row r="377" spans="1:15" ht="36.75" customHeight="1" x14ac:dyDescent="0.2">
      <c r="A377" s="225">
        <v>291</v>
      </c>
      <c r="B377" s="227" t="s">
        <v>512</v>
      </c>
      <c r="C377" s="227" t="s">
        <v>284</v>
      </c>
      <c r="D377" s="99" t="s">
        <v>603</v>
      </c>
      <c r="E377" s="228" t="s">
        <v>280</v>
      </c>
      <c r="F377" s="228" t="s">
        <v>19</v>
      </c>
      <c r="G377" s="162">
        <v>135000</v>
      </c>
      <c r="H377" s="162">
        <v>0</v>
      </c>
      <c r="I377" s="162">
        <f t="shared" ref="I377" si="366">SUM(G377:H377)</f>
        <v>135000</v>
      </c>
      <c r="J377" s="163">
        <f>IF(G377&gt;=Datos!$D$14,(Datos!$D$14*Datos!$C$14),IF(G377&lt;=Datos!$D$14,(G377*Datos!$C$14)))</f>
        <v>3874.5</v>
      </c>
      <c r="K377" s="164">
        <v>19480.509999999998</v>
      </c>
      <c r="L377" s="163">
        <f>IF(G377&gt;=Datos!$D$15,(Datos!$D$15*Datos!$C$15),IF(G377&lt;=Datos!$D$15,(G377*Datos!$C$15)))</f>
        <v>4104</v>
      </c>
      <c r="M377" s="162">
        <v>3455.92</v>
      </c>
      <c r="N377" s="162">
        <f t="shared" ref="N377" si="367">SUM(J377:M377)</f>
        <v>30914.93</v>
      </c>
      <c r="O377" s="191">
        <f t="shared" ref="O377" si="368">+G377-N377</f>
        <v>104085.07</v>
      </c>
    </row>
    <row r="378" spans="1:15" s="234" customFormat="1" ht="36.75" customHeight="1" x14ac:dyDescent="0.2">
      <c r="A378" s="277" t="s">
        <v>455</v>
      </c>
      <c r="B378" s="278"/>
      <c r="C378" s="232">
        <v>1</v>
      </c>
      <c r="D378" s="232"/>
      <c r="E378" s="233"/>
      <c r="F378" s="166"/>
      <c r="G378" s="167">
        <f>SUM(G377)</f>
        <v>135000</v>
      </c>
      <c r="H378" s="167">
        <f t="shared" ref="H378:O378" si="369">SUM(H377)</f>
        <v>0</v>
      </c>
      <c r="I378" s="167">
        <f t="shared" si="369"/>
        <v>135000</v>
      </c>
      <c r="J378" s="167">
        <f t="shared" si="369"/>
        <v>3874.5</v>
      </c>
      <c r="K378" s="167">
        <f t="shared" si="369"/>
        <v>19480.509999999998</v>
      </c>
      <c r="L378" s="167">
        <f t="shared" si="369"/>
        <v>4104</v>
      </c>
      <c r="M378" s="167">
        <f t="shared" si="369"/>
        <v>3455.92</v>
      </c>
      <c r="N378" s="167">
        <f t="shared" si="369"/>
        <v>30914.93</v>
      </c>
      <c r="O378" s="251">
        <f t="shared" si="369"/>
        <v>104085.07</v>
      </c>
    </row>
    <row r="379" spans="1:15" ht="36.75" customHeight="1" x14ac:dyDescent="0.2">
      <c r="A379" s="277" t="s">
        <v>677</v>
      </c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9"/>
    </row>
    <row r="380" spans="1:15" ht="36.75" customHeight="1" x14ac:dyDescent="0.2">
      <c r="A380" s="225">
        <v>292</v>
      </c>
      <c r="B380" s="227" t="s">
        <v>678</v>
      </c>
      <c r="C380" s="227" t="s">
        <v>664</v>
      </c>
      <c r="D380" s="99" t="s">
        <v>680</v>
      </c>
      <c r="E380" s="228" t="s">
        <v>280</v>
      </c>
      <c r="F380" s="228" t="s">
        <v>19</v>
      </c>
      <c r="G380" s="162">
        <v>55000</v>
      </c>
      <c r="H380" s="162">
        <v>0</v>
      </c>
      <c r="I380" s="162">
        <f t="shared" ref="I380:I385" si="370">SUM(G380:H380)</f>
        <v>55000</v>
      </c>
      <c r="J380" s="163">
        <f>IF(G380&gt;=Datos!$D$14,(Datos!$D$14*Datos!$C$14),IF(G380&lt;=Datos!$D$14,(G380*Datos!$C$14)))</f>
        <v>1578.5</v>
      </c>
      <c r="K380" s="164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2559.6734999999994</v>
      </c>
      <c r="L380" s="163">
        <f>IF(G380&gt;=Datos!$D$15,(Datos!$D$15*Datos!$C$15),IF(G380&lt;=Datos!$D$15,(G380*Datos!$C$15)))</f>
        <v>1672</v>
      </c>
      <c r="M380" s="162">
        <v>25</v>
      </c>
      <c r="N380" s="162">
        <f t="shared" ref="N380:N384" si="371">SUM(J380:M380)</f>
        <v>5835.173499999999</v>
      </c>
      <c r="O380" s="191">
        <f t="shared" ref="O380:O384" si="372">+G380-N380</f>
        <v>49164.826500000003</v>
      </c>
    </row>
    <row r="381" spans="1:15" ht="36.75" customHeight="1" x14ac:dyDescent="0.2">
      <c r="A381" s="225">
        <v>293</v>
      </c>
      <c r="B381" s="227" t="s">
        <v>781</v>
      </c>
      <c r="C381" s="227" t="s">
        <v>659</v>
      </c>
      <c r="D381" s="99" t="s">
        <v>452</v>
      </c>
      <c r="E381" s="228" t="s">
        <v>280</v>
      </c>
      <c r="F381" s="228" t="s">
        <v>19</v>
      </c>
      <c r="G381" s="162">
        <v>35000</v>
      </c>
      <c r="H381" s="162">
        <v>0</v>
      </c>
      <c r="I381" s="162">
        <f t="shared" si="370"/>
        <v>35000</v>
      </c>
      <c r="J381" s="163">
        <f>IF(G381&gt;=Datos!$D$14,(Datos!$D$14*Datos!$C$14),IF(G381&lt;=Datos!$D$14,(G381*Datos!$C$14)))</f>
        <v>1004.5</v>
      </c>
      <c r="K381" s="164" t="str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0</v>
      </c>
      <c r="L381" s="163">
        <f>IF(G381&gt;=Datos!$D$15,(Datos!$D$15*Datos!$C$15),IF(G381&lt;=Datos!$D$15,(G381*Datos!$C$15)))</f>
        <v>1064</v>
      </c>
      <c r="M381" s="162">
        <v>25</v>
      </c>
      <c r="N381" s="162">
        <f t="shared" si="371"/>
        <v>2093.5</v>
      </c>
      <c r="O381" s="191">
        <f t="shared" si="372"/>
        <v>32906.5</v>
      </c>
    </row>
    <row r="382" spans="1:15" ht="36.75" customHeight="1" x14ac:dyDescent="0.2">
      <c r="A382" s="225">
        <v>294</v>
      </c>
      <c r="B382" s="227" t="s">
        <v>975</v>
      </c>
      <c r="C382" s="227" t="s">
        <v>794</v>
      </c>
      <c r="D382" s="99" t="s">
        <v>452</v>
      </c>
      <c r="E382" s="228" t="s">
        <v>280</v>
      </c>
      <c r="F382" s="228" t="s">
        <v>19</v>
      </c>
      <c r="G382" s="162">
        <v>35000</v>
      </c>
      <c r="H382" s="162">
        <v>0</v>
      </c>
      <c r="I382" s="162">
        <f t="shared" si="370"/>
        <v>35000</v>
      </c>
      <c r="J382" s="163">
        <f>IF(G382&gt;=Datos!$D$14,(Datos!$D$14*Datos!$C$14),IF(G382&lt;=Datos!$D$14,(G382*Datos!$C$14)))</f>
        <v>1004.5</v>
      </c>
      <c r="K382" s="164" t="str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0</v>
      </c>
      <c r="L382" s="163">
        <f>IF(G382&gt;=Datos!$D$15,(Datos!$D$15*Datos!$C$15),IF(G382&lt;=Datos!$D$15,(G382*Datos!$C$15)))</f>
        <v>1064</v>
      </c>
      <c r="M382" s="162">
        <v>25</v>
      </c>
      <c r="N382" s="162">
        <f t="shared" si="371"/>
        <v>2093.5</v>
      </c>
      <c r="O382" s="191">
        <f t="shared" si="372"/>
        <v>32906.5</v>
      </c>
    </row>
    <row r="383" spans="1:15" ht="36.75" customHeight="1" x14ac:dyDescent="0.2">
      <c r="A383" s="225">
        <v>295</v>
      </c>
      <c r="B383" s="227" t="s">
        <v>778</v>
      </c>
      <c r="C383" s="227" t="s">
        <v>659</v>
      </c>
      <c r="D383" s="99" t="s">
        <v>452</v>
      </c>
      <c r="E383" s="228" t="s">
        <v>280</v>
      </c>
      <c r="F383" s="228" t="s">
        <v>19</v>
      </c>
      <c r="G383" s="162">
        <v>55000</v>
      </c>
      <c r="H383" s="162">
        <v>0</v>
      </c>
      <c r="I383" s="162">
        <f t="shared" si="370"/>
        <v>55000</v>
      </c>
      <c r="J383" s="163">
        <f>IF(G383&gt;=Datos!$D$14,(Datos!$D$14*Datos!$C$14),IF(G383&lt;=Datos!$D$14,(G383*Datos!$C$14)))</f>
        <v>1578.5</v>
      </c>
      <c r="K383" s="164">
        <f>IF((G383-J383-L383)&lt;=Datos!$G$7,"0",IF((G383-J383-L383)&lt;=Datos!$G$8,((G383-J383-L383)-Datos!$F$8)*Datos!$I$6,IF((G383-J383-L383)&lt;=Datos!$G$9,Datos!$I$8+((G383-J383-L383)-Datos!$F$9)*Datos!$J$6,IF((G383-J383-L383)&gt;=Datos!$F$10,(Datos!$I$8+Datos!$J$8)+((G383-J383-L383)-Datos!$F$10)*Datos!$K$6))))</f>
        <v>2559.6734999999994</v>
      </c>
      <c r="L383" s="163">
        <f>IF(G383&gt;=Datos!$D$15,(Datos!$D$15*Datos!$C$15),IF(G383&lt;=Datos!$D$15,(G383*Datos!$C$15)))</f>
        <v>1672</v>
      </c>
      <c r="M383" s="162">
        <v>25</v>
      </c>
      <c r="N383" s="162">
        <f t="shared" si="371"/>
        <v>5835.173499999999</v>
      </c>
      <c r="O383" s="191">
        <f t="shared" si="372"/>
        <v>49164.826500000003</v>
      </c>
    </row>
    <row r="384" spans="1:15" ht="36.75" customHeight="1" x14ac:dyDescent="0.2">
      <c r="A384" s="225">
        <v>296</v>
      </c>
      <c r="B384" s="227" t="s">
        <v>971</v>
      </c>
      <c r="C384" s="227" t="s">
        <v>794</v>
      </c>
      <c r="D384" s="99" t="s">
        <v>870</v>
      </c>
      <c r="E384" s="228" t="s">
        <v>280</v>
      </c>
      <c r="F384" s="228" t="s">
        <v>19</v>
      </c>
      <c r="G384" s="162">
        <v>60000</v>
      </c>
      <c r="H384" s="162">
        <v>0</v>
      </c>
      <c r="I384" s="162">
        <f t="shared" si="370"/>
        <v>60000</v>
      </c>
      <c r="J384" s="163">
        <f>IF(G384&gt;=Datos!$D$14,(Datos!$D$14*Datos!$C$14),IF(G384&lt;=Datos!$D$14,(G384*Datos!$C$14)))</f>
        <v>1722</v>
      </c>
      <c r="K384" s="164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3486.6756666666661</v>
      </c>
      <c r="L384" s="163">
        <f>IF(G384&gt;=Datos!$D$15,(Datos!$D$15*Datos!$C$15),IF(G384&lt;=Datos!$D$15,(G384*Datos!$C$15)))</f>
        <v>1824</v>
      </c>
      <c r="M384" s="162">
        <v>25</v>
      </c>
      <c r="N384" s="162">
        <f t="shared" si="371"/>
        <v>7057.6756666666661</v>
      </c>
      <c r="O384" s="191">
        <f t="shared" si="372"/>
        <v>52942.324333333338</v>
      </c>
    </row>
    <row r="385" spans="1:15" ht="36.75" customHeight="1" x14ac:dyDescent="0.2">
      <c r="A385" s="225">
        <v>297</v>
      </c>
      <c r="B385" s="227" t="s">
        <v>679</v>
      </c>
      <c r="C385" s="227" t="s">
        <v>664</v>
      </c>
      <c r="D385" s="99" t="s">
        <v>680</v>
      </c>
      <c r="E385" s="228" t="s">
        <v>280</v>
      </c>
      <c r="F385" s="228" t="s">
        <v>19</v>
      </c>
      <c r="G385" s="162">
        <v>55000</v>
      </c>
      <c r="H385" s="162">
        <v>0</v>
      </c>
      <c r="I385" s="162">
        <f t="shared" si="370"/>
        <v>55000</v>
      </c>
      <c r="J385" s="163">
        <f>IF(G385&gt;=Datos!$D$14,(Datos!$D$14*Datos!$C$14),IF(G385&lt;=Datos!$D$14,(G385*Datos!$C$14)))</f>
        <v>1578.5</v>
      </c>
      <c r="K385" s="164">
        <f>IF((G385-J385-L385)&lt;=Datos!$G$7,"0",IF((G385-J385-L385)&lt;=Datos!$G$8,((G385-J385-L385)-Datos!$F$8)*Datos!$I$6,IF((G385-J385-L385)&lt;=Datos!$G$9,Datos!$I$8+((G385-J385-L385)-Datos!$F$9)*Datos!$J$6,IF((G385-J385-L385)&gt;=Datos!$F$10,(Datos!$I$8+Datos!$J$8)+((G385-J385-L385)-Datos!$F$10)*Datos!$K$6))))</f>
        <v>2559.6734999999994</v>
      </c>
      <c r="L385" s="163">
        <f>IF(G385&gt;=Datos!$D$15,(Datos!$D$15*Datos!$C$15),IF(G385&lt;=Datos!$D$15,(G385*Datos!$C$15)))</f>
        <v>1672</v>
      </c>
      <c r="M385" s="162">
        <v>25</v>
      </c>
      <c r="N385" s="162">
        <f t="shared" ref="N385" si="373">SUM(J385:M385)</f>
        <v>5835.173499999999</v>
      </c>
      <c r="O385" s="191">
        <f t="shared" ref="O385" si="374">+G385-N385</f>
        <v>49164.826500000003</v>
      </c>
    </row>
    <row r="386" spans="1:15" s="234" customFormat="1" ht="36.75" customHeight="1" x14ac:dyDescent="0.2">
      <c r="A386" s="277" t="s">
        <v>455</v>
      </c>
      <c r="B386" s="278"/>
      <c r="C386" s="232">
        <v>6</v>
      </c>
      <c r="D386" s="232"/>
      <c r="E386" s="233"/>
      <c r="F386" s="166"/>
      <c r="G386" s="167">
        <f t="shared" ref="G386:O386" si="375">SUM(G380:G385)</f>
        <v>295000</v>
      </c>
      <c r="H386" s="167">
        <f t="shared" si="375"/>
        <v>0</v>
      </c>
      <c r="I386" s="167">
        <f t="shared" si="375"/>
        <v>295000</v>
      </c>
      <c r="J386" s="167">
        <f t="shared" si="375"/>
        <v>8466.5</v>
      </c>
      <c r="K386" s="167">
        <f t="shared" si="375"/>
        <v>11165.696166666663</v>
      </c>
      <c r="L386" s="167">
        <f t="shared" si="375"/>
        <v>8968</v>
      </c>
      <c r="M386" s="167">
        <f t="shared" si="375"/>
        <v>150</v>
      </c>
      <c r="N386" s="167">
        <f t="shared" si="375"/>
        <v>28750.196166666661</v>
      </c>
      <c r="O386" s="167">
        <f t="shared" si="375"/>
        <v>266249.80383333337</v>
      </c>
    </row>
    <row r="387" spans="1:15" ht="36.75" customHeight="1" x14ac:dyDescent="0.2">
      <c r="A387" s="277" t="s">
        <v>604</v>
      </c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9"/>
    </row>
    <row r="388" spans="1:15" ht="36.75" customHeight="1" x14ac:dyDescent="0.2">
      <c r="A388" s="225">
        <v>298</v>
      </c>
      <c r="B388" s="227" t="s">
        <v>605</v>
      </c>
      <c r="C388" s="227" t="s">
        <v>284</v>
      </c>
      <c r="D388" s="99" t="s">
        <v>310</v>
      </c>
      <c r="E388" s="228" t="s">
        <v>280</v>
      </c>
      <c r="F388" s="228" t="s">
        <v>19</v>
      </c>
      <c r="G388" s="162">
        <v>72600</v>
      </c>
      <c r="H388" s="162">
        <v>0</v>
      </c>
      <c r="I388" s="162">
        <f t="shared" ref="I388:I404" si="376">SUM(G388:H388)</f>
        <v>72600</v>
      </c>
      <c r="J388" s="163">
        <f>IF(G388&gt;=Datos!$D$14,(Datos!$D$14*Datos!$C$14),IF(G388&lt;=Datos!$D$14,(G388*Datos!$C$14)))</f>
        <v>2083.62</v>
      </c>
      <c r="K388" s="164">
        <f>IF((G388-J388-L388)&lt;=Datos!$G$7,"0",IF((G388-J388-L388)&lt;=Datos!$G$8,((G388-J388-L388)-Datos!$F$8)*Datos!$I$6,IF((G388-J388-L388)&lt;=Datos!$G$9,Datos!$I$8+((G388-J388-L388)-Datos!$F$9)*Datos!$J$6,IF((G388-J388-L388)&gt;=Datos!$F$10,(Datos!$I$8+Datos!$J$8)+((G388-J388-L388)-Datos!$F$10)*Datos!$K$6))))</f>
        <v>5857.743666666669</v>
      </c>
      <c r="L388" s="163">
        <f>IF(G388&gt;=Datos!$D$15,(Datos!$D$15*Datos!$C$15),IF(G388&lt;=Datos!$D$15,(G388*Datos!$C$15)))</f>
        <v>2207.04</v>
      </c>
      <c r="M388" s="162">
        <v>25</v>
      </c>
      <c r="N388" s="162">
        <f t="shared" ref="N388:N395" si="377">SUM(J388:M388)</f>
        <v>10173.403666666669</v>
      </c>
      <c r="O388" s="191">
        <f t="shared" ref="O388:O395" si="378">+G388-N388</f>
        <v>62426.596333333335</v>
      </c>
    </row>
    <row r="389" spans="1:15" ht="36.75" customHeight="1" x14ac:dyDescent="0.2">
      <c r="A389" s="225">
        <v>299</v>
      </c>
      <c r="B389" s="227" t="s">
        <v>689</v>
      </c>
      <c r="C389" s="227" t="s">
        <v>284</v>
      </c>
      <c r="D389" s="99" t="s">
        <v>628</v>
      </c>
      <c r="E389" s="228" t="s">
        <v>280</v>
      </c>
      <c r="F389" s="228" t="s">
        <v>19</v>
      </c>
      <c r="G389" s="162">
        <v>72600</v>
      </c>
      <c r="H389" s="162">
        <v>0</v>
      </c>
      <c r="I389" s="162">
        <f t="shared" si="376"/>
        <v>72600</v>
      </c>
      <c r="J389" s="163">
        <f>IF(G389&gt;=Datos!$D$14,(Datos!$D$14*Datos!$C$14),IF(G389&lt;=Datos!$D$14,(G389*Datos!$C$14)))</f>
        <v>2083.62</v>
      </c>
      <c r="K389" s="164">
        <f>IF((G389-J389-L389)&lt;=Datos!$G$7,"0",IF((G389-J389-L389)&lt;=Datos!$G$8,((G389-J389-L389)-Datos!$F$8)*Datos!$I$6,IF((G389-J389-L389)&lt;=Datos!$G$9,Datos!$I$8+((G389-J389-L389)-Datos!$F$9)*Datos!$J$6,IF((G389-J389-L389)&gt;=Datos!$F$10,(Datos!$I$8+Datos!$J$8)+((G389-J389-L389)-Datos!$F$10)*Datos!$K$6))))</f>
        <v>5857.743666666669</v>
      </c>
      <c r="L389" s="163">
        <f>IF(G389&gt;=Datos!$D$15,(Datos!$D$15*Datos!$C$15),IF(G389&lt;=Datos!$D$15,(G389*Datos!$C$15)))</f>
        <v>2207.04</v>
      </c>
      <c r="M389" s="162">
        <v>25</v>
      </c>
      <c r="N389" s="162">
        <f t="shared" ref="N389:N390" si="379">SUM(J389:M389)</f>
        <v>10173.403666666669</v>
      </c>
      <c r="O389" s="191">
        <f t="shared" ref="O389:O390" si="380">+G389-N389</f>
        <v>62426.596333333335</v>
      </c>
    </row>
    <row r="390" spans="1:15" ht="36.75" customHeight="1" x14ac:dyDescent="0.2">
      <c r="A390" s="225">
        <v>300</v>
      </c>
      <c r="B390" s="227" t="s">
        <v>690</v>
      </c>
      <c r="C390" s="227" t="s">
        <v>284</v>
      </c>
      <c r="D390" s="99" t="s">
        <v>452</v>
      </c>
      <c r="E390" s="228" t="s">
        <v>280</v>
      </c>
      <c r="F390" s="228" t="s">
        <v>19</v>
      </c>
      <c r="G390" s="162">
        <v>35000</v>
      </c>
      <c r="H390" s="162">
        <v>0</v>
      </c>
      <c r="I390" s="162">
        <f t="shared" si="376"/>
        <v>35000</v>
      </c>
      <c r="J390" s="163">
        <f>IF(G390&gt;=Datos!$D$14,(Datos!$D$14*Datos!$C$14),IF(G390&lt;=Datos!$D$14,(G390*Datos!$C$14)))</f>
        <v>1004.5</v>
      </c>
      <c r="K390" s="164" t="str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0</v>
      </c>
      <c r="L390" s="163">
        <f>IF(G390&gt;=Datos!$D$15,(Datos!$D$15*Datos!$C$15),IF(G390&lt;=Datos!$D$15,(G390*Datos!$C$15)))</f>
        <v>1064</v>
      </c>
      <c r="M390" s="162">
        <v>25</v>
      </c>
      <c r="N390" s="162">
        <f t="shared" si="379"/>
        <v>2093.5</v>
      </c>
      <c r="O390" s="191">
        <f t="shared" si="380"/>
        <v>32906.5</v>
      </c>
    </row>
    <row r="391" spans="1:15" ht="36.75" customHeight="1" x14ac:dyDescent="0.2">
      <c r="A391" s="225">
        <v>301</v>
      </c>
      <c r="B391" s="227" t="s">
        <v>928</v>
      </c>
      <c r="C391" s="227" t="s">
        <v>284</v>
      </c>
      <c r="D391" s="99" t="s">
        <v>628</v>
      </c>
      <c r="E391" s="228" t="s">
        <v>280</v>
      </c>
      <c r="F391" s="228" t="s">
        <v>19</v>
      </c>
      <c r="G391" s="162">
        <v>60000</v>
      </c>
      <c r="H391" s="162">
        <v>0</v>
      </c>
      <c r="I391" s="162">
        <f t="shared" ref="I391" si="381">SUM(G391:H391)</f>
        <v>60000</v>
      </c>
      <c r="J391" s="163">
        <f>IF(G391&gt;=Datos!$D$14,(Datos!$D$14*Datos!$C$14),IF(G391&lt;=Datos!$D$14,(G391*Datos!$C$14)))</f>
        <v>1722</v>
      </c>
      <c r="K391" s="164">
        <f>IF((G391-J391-L391)&lt;=Datos!$G$7,"0",IF((G391-J391-L391)&lt;=Datos!$G$8,((G391-J391-L391)-Datos!$F$8)*Datos!$I$6,IF((G391-J391-L391)&lt;=Datos!$G$9,Datos!$I$8+((G391-J391-L391)-Datos!$F$9)*Datos!$J$6,IF((G391-J391-L391)&gt;=Datos!$F$10,(Datos!$I$8+Datos!$J$8)+((G391-J391-L391)-Datos!$F$10)*Datos!$K$6))))</f>
        <v>3486.6756666666661</v>
      </c>
      <c r="L391" s="163">
        <f>IF(G391&gt;=Datos!$D$15,(Datos!$D$15*Datos!$C$15),IF(G391&lt;=Datos!$D$15,(G391*Datos!$C$15)))</f>
        <v>1824</v>
      </c>
      <c r="M391" s="162">
        <v>25</v>
      </c>
      <c r="N391" s="162">
        <f t="shared" ref="N391" si="382">SUM(J391:M391)</f>
        <v>7057.6756666666661</v>
      </c>
      <c r="O391" s="191">
        <f t="shared" ref="O391" si="383">+G391-N391</f>
        <v>52942.324333333338</v>
      </c>
    </row>
    <row r="392" spans="1:15" ht="36.75" customHeight="1" x14ac:dyDescent="0.2">
      <c r="A392" s="225">
        <v>302</v>
      </c>
      <c r="B392" s="227" t="s">
        <v>955</v>
      </c>
      <c r="C392" s="227" t="s">
        <v>284</v>
      </c>
      <c r="D392" s="99" t="s">
        <v>628</v>
      </c>
      <c r="E392" s="228" t="s">
        <v>280</v>
      </c>
      <c r="F392" s="228" t="s">
        <v>19</v>
      </c>
      <c r="G392" s="162">
        <v>60000</v>
      </c>
      <c r="H392" s="162">
        <v>0</v>
      </c>
      <c r="I392" s="162">
        <f t="shared" si="376"/>
        <v>60000</v>
      </c>
      <c r="J392" s="163">
        <f>IF(G392&gt;=Datos!$D$14,(Datos!$D$14*Datos!$C$14),IF(G392&lt;=Datos!$D$14,(G392*Datos!$C$14)))</f>
        <v>1722</v>
      </c>
      <c r="K392" s="164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3486.6756666666661</v>
      </c>
      <c r="L392" s="163">
        <f>IF(G392&gt;=Datos!$D$15,(Datos!$D$15*Datos!$C$15),IF(G392&lt;=Datos!$D$15,(G392*Datos!$C$15)))</f>
        <v>1824</v>
      </c>
      <c r="M392" s="162">
        <v>25</v>
      </c>
      <c r="N392" s="162">
        <f t="shared" si="377"/>
        <v>7057.6756666666661</v>
      </c>
      <c r="O392" s="191">
        <f t="shared" si="378"/>
        <v>52942.324333333338</v>
      </c>
    </row>
    <row r="393" spans="1:15" ht="36.75" customHeight="1" x14ac:dyDescent="0.2">
      <c r="A393" s="225">
        <v>303</v>
      </c>
      <c r="B393" s="227" t="s">
        <v>1035</v>
      </c>
      <c r="C393" s="227" t="s">
        <v>284</v>
      </c>
      <c r="D393" s="99" t="s">
        <v>310</v>
      </c>
      <c r="E393" s="228" t="s">
        <v>280</v>
      </c>
      <c r="F393" s="228" t="s">
        <v>19</v>
      </c>
      <c r="G393" s="162">
        <v>60000</v>
      </c>
      <c r="H393" s="162">
        <v>0</v>
      </c>
      <c r="I393" s="162">
        <f t="shared" si="376"/>
        <v>60000</v>
      </c>
      <c r="J393" s="163">
        <f>IF(G393&gt;=Datos!$D$14,(Datos!$D$14*Datos!$C$14),IF(G393&lt;=Datos!$D$14,(G393*Datos!$C$14)))</f>
        <v>1722</v>
      </c>
      <c r="K393" s="164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3486.6756666666661</v>
      </c>
      <c r="L393" s="163">
        <f>IF(G393&gt;=Datos!$D$15,(Datos!$D$15*Datos!$C$15),IF(G393&lt;=Datos!$D$15,(G393*Datos!$C$15)))</f>
        <v>1824</v>
      </c>
      <c r="M393" s="162">
        <v>25</v>
      </c>
      <c r="N393" s="162">
        <f t="shared" ref="N393:N394" si="384">SUM(J393:M393)</f>
        <v>7057.6756666666661</v>
      </c>
      <c r="O393" s="191">
        <f t="shared" ref="O393:O394" si="385">+G393-N393</f>
        <v>52942.324333333338</v>
      </c>
    </row>
    <row r="394" spans="1:15" ht="36.75" customHeight="1" x14ac:dyDescent="0.2">
      <c r="A394" s="225">
        <v>304</v>
      </c>
      <c r="B394" s="227" t="s">
        <v>223</v>
      </c>
      <c r="C394" s="227" t="s">
        <v>284</v>
      </c>
      <c r="D394" s="99" t="s">
        <v>620</v>
      </c>
      <c r="E394" s="228" t="s">
        <v>280</v>
      </c>
      <c r="F394" s="228" t="s">
        <v>19</v>
      </c>
      <c r="G394" s="162">
        <v>80000</v>
      </c>
      <c r="H394" s="162">
        <v>0</v>
      </c>
      <c r="I394" s="162">
        <f t="shared" si="376"/>
        <v>80000</v>
      </c>
      <c r="J394" s="163">
        <f>IF(G394&gt;=Datos!$D$14,(Datos!$D$14*Datos!$C$14),IF(G394&lt;=Datos!$D$14,(G394*Datos!$C$14)))</f>
        <v>2296</v>
      </c>
      <c r="K394" s="164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7400.8606666666674</v>
      </c>
      <c r="L394" s="163">
        <f>IF(G394&gt;=Datos!$D$15,(Datos!$D$15*Datos!$C$15),IF(G394&lt;=Datos!$D$15,(G394*Datos!$C$15)))</f>
        <v>2432</v>
      </c>
      <c r="M394" s="162">
        <v>25</v>
      </c>
      <c r="N394" s="162">
        <f t="shared" si="384"/>
        <v>12153.860666666667</v>
      </c>
      <c r="O394" s="191">
        <f t="shared" si="385"/>
        <v>67846.139333333325</v>
      </c>
    </row>
    <row r="395" spans="1:15" ht="36.75" customHeight="1" x14ac:dyDescent="0.2">
      <c r="A395" s="225">
        <v>305</v>
      </c>
      <c r="B395" s="226" t="s">
        <v>161</v>
      </c>
      <c r="C395" s="227" t="s">
        <v>284</v>
      </c>
      <c r="D395" s="99" t="s">
        <v>628</v>
      </c>
      <c r="E395" s="228" t="s">
        <v>280</v>
      </c>
      <c r="F395" s="228" t="s">
        <v>19</v>
      </c>
      <c r="G395" s="138">
        <v>78650</v>
      </c>
      <c r="H395" s="162">
        <v>0</v>
      </c>
      <c r="I395" s="162">
        <f t="shared" si="376"/>
        <v>78650</v>
      </c>
      <c r="J395" s="163">
        <f>IF(G395&gt;=Datos!$D$14,(Datos!$D$14*Datos!$C$14),IF(G395&lt;=Datos!$D$14,(G395*Datos!$C$14)))</f>
        <v>2257.2550000000001</v>
      </c>
      <c r="K395" s="164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7083.3069166666646</v>
      </c>
      <c r="L395" s="163">
        <f>IF(G395&gt;=Datos!$D$15,(Datos!$D$15*Datos!$C$15),IF(G395&lt;=Datos!$D$15,(G395*Datos!$C$15)))</f>
        <v>2390.96</v>
      </c>
      <c r="M395" s="162">
        <v>25</v>
      </c>
      <c r="N395" s="162">
        <f t="shared" si="377"/>
        <v>11756.521916666665</v>
      </c>
      <c r="O395" s="191">
        <f t="shared" si="378"/>
        <v>66893.478083333335</v>
      </c>
    </row>
    <row r="396" spans="1:15" ht="36.75" customHeight="1" x14ac:dyDescent="0.2">
      <c r="A396" s="225">
        <v>306</v>
      </c>
      <c r="B396" s="227" t="s">
        <v>85</v>
      </c>
      <c r="C396" s="227" t="s">
        <v>284</v>
      </c>
      <c r="D396" s="99" t="s">
        <v>628</v>
      </c>
      <c r="E396" s="228" t="s">
        <v>280</v>
      </c>
      <c r="F396" s="228" t="s">
        <v>19</v>
      </c>
      <c r="G396" s="162">
        <v>86711.63</v>
      </c>
      <c r="H396" s="162">
        <v>0</v>
      </c>
      <c r="I396" s="162">
        <f t="shared" si="376"/>
        <v>86711.63</v>
      </c>
      <c r="J396" s="163">
        <f>IF(G396&gt;=Datos!$D$14,(Datos!$D$14*Datos!$C$14),IF(G396&lt;=Datos!$D$14,(G396*Datos!$C$14)))</f>
        <v>2488.6237810000002</v>
      </c>
      <c r="K396" s="164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8979.6038334166697</v>
      </c>
      <c r="L396" s="163">
        <f>IF(G396&gt;=Datos!$D$15,(Datos!$D$15*Datos!$C$15),IF(G396&lt;=Datos!$D$15,(G396*Datos!$C$15)))</f>
        <v>2636.0335520000003</v>
      </c>
      <c r="M396" s="162">
        <v>25</v>
      </c>
      <c r="N396" s="162">
        <f t="shared" ref="N396" si="386">SUM(J396:M396)</f>
        <v>14129.261166416671</v>
      </c>
      <c r="O396" s="191">
        <f t="shared" ref="O396" si="387">+G396-N396</f>
        <v>72582.368833583329</v>
      </c>
    </row>
    <row r="397" spans="1:15" ht="36.75" customHeight="1" x14ac:dyDescent="0.2">
      <c r="A397" s="225">
        <v>307</v>
      </c>
      <c r="B397" s="227" t="s">
        <v>835</v>
      </c>
      <c r="C397" s="227" t="s">
        <v>284</v>
      </c>
      <c r="D397" s="99" t="s">
        <v>628</v>
      </c>
      <c r="E397" s="228" t="s">
        <v>280</v>
      </c>
      <c r="F397" s="228" t="s">
        <v>19</v>
      </c>
      <c r="G397" s="162">
        <v>78650</v>
      </c>
      <c r="H397" s="162">
        <v>0</v>
      </c>
      <c r="I397" s="162">
        <f t="shared" si="376"/>
        <v>78650</v>
      </c>
      <c r="J397" s="163">
        <f>IF(G397&gt;=Datos!$D$14,(Datos!$D$14*Datos!$C$14),IF(G397&lt;=Datos!$D$14,(G397*Datos!$C$14)))</f>
        <v>2257.2550000000001</v>
      </c>
      <c r="K397" s="164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7083.3069166666646</v>
      </c>
      <c r="L397" s="163">
        <f>IF(G397&gt;=Datos!$D$15,(Datos!$D$15*Datos!$C$15),IF(G397&lt;=Datos!$D$15,(G397*Datos!$C$15)))</f>
        <v>2390.96</v>
      </c>
      <c r="M397" s="162">
        <v>25</v>
      </c>
      <c r="N397" s="162">
        <f t="shared" ref="N397" si="388">SUM(J397:M397)</f>
        <v>11756.521916666665</v>
      </c>
      <c r="O397" s="191">
        <f t="shared" ref="O397" si="389">+G397-N397</f>
        <v>66893.478083333335</v>
      </c>
    </row>
    <row r="398" spans="1:15" ht="36.75" customHeight="1" x14ac:dyDescent="0.2">
      <c r="A398" s="225">
        <v>308</v>
      </c>
      <c r="B398" s="227" t="s">
        <v>606</v>
      </c>
      <c r="C398" s="227" t="s">
        <v>284</v>
      </c>
      <c r="D398" s="99" t="s">
        <v>629</v>
      </c>
      <c r="E398" s="228" t="s">
        <v>280</v>
      </c>
      <c r="F398" s="228" t="s">
        <v>19</v>
      </c>
      <c r="G398" s="162">
        <v>78650</v>
      </c>
      <c r="H398" s="162">
        <v>0</v>
      </c>
      <c r="I398" s="162">
        <f t="shared" si="376"/>
        <v>78650</v>
      </c>
      <c r="J398" s="163">
        <f>IF(G398&gt;=Datos!$D$14,(Datos!$D$14*Datos!$C$14),IF(G398&lt;=Datos!$D$14,(G398*Datos!$C$14)))</f>
        <v>2257.2550000000001</v>
      </c>
      <c r="K398" s="164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7083.3069166666646</v>
      </c>
      <c r="L398" s="163">
        <f>IF(G398&gt;=Datos!$D$15,(Datos!$D$15*Datos!$C$15),IF(G398&lt;=Datos!$D$15,(G398*Datos!$C$15)))</f>
        <v>2390.96</v>
      </c>
      <c r="M398" s="162">
        <v>25</v>
      </c>
      <c r="N398" s="162">
        <f t="shared" ref="N398:N404" si="390">SUM(J398:M398)</f>
        <v>11756.521916666665</v>
      </c>
      <c r="O398" s="191">
        <f t="shared" ref="O398:O404" si="391">+G398-N398</f>
        <v>66893.478083333335</v>
      </c>
    </row>
    <row r="399" spans="1:15" ht="36.75" customHeight="1" x14ac:dyDescent="0.2">
      <c r="A399" s="225">
        <v>309</v>
      </c>
      <c r="B399" s="227" t="s">
        <v>179</v>
      </c>
      <c r="C399" s="227" t="s">
        <v>284</v>
      </c>
      <c r="D399" s="99" t="s">
        <v>1061</v>
      </c>
      <c r="E399" s="228" t="s">
        <v>280</v>
      </c>
      <c r="F399" s="228" t="s">
        <v>19</v>
      </c>
      <c r="G399" s="162">
        <v>120000</v>
      </c>
      <c r="H399" s="162">
        <v>0</v>
      </c>
      <c r="I399" s="162">
        <f t="shared" si="376"/>
        <v>120000</v>
      </c>
      <c r="J399" s="163">
        <f>IF(G399&gt;=Datos!$D$14,(Datos!$D$14*Datos!$C$14),IF(G399&lt;=Datos!$D$14,(G399*Datos!$C$14)))</f>
        <v>3444</v>
      </c>
      <c r="K399" s="164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16809.860666666667</v>
      </c>
      <c r="L399" s="163">
        <f>IF(G399&gt;=Datos!$D$15,(Datos!$D$15*Datos!$C$15),IF(G399&lt;=Datos!$D$15,(G399*Datos!$C$15)))</f>
        <v>3648</v>
      </c>
      <c r="M399" s="162">
        <v>25</v>
      </c>
      <c r="N399" s="162">
        <f t="shared" si="390"/>
        <v>23926.860666666667</v>
      </c>
      <c r="O399" s="191">
        <f t="shared" si="391"/>
        <v>96073.139333333325</v>
      </c>
    </row>
    <row r="400" spans="1:15" ht="36.75" customHeight="1" x14ac:dyDescent="0.2">
      <c r="A400" s="225">
        <v>310</v>
      </c>
      <c r="B400" s="227" t="s">
        <v>193</v>
      </c>
      <c r="C400" s="227" t="s">
        <v>284</v>
      </c>
      <c r="D400" s="99" t="s">
        <v>620</v>
      </c>
      <c r="E400" s="228" t="s">
        <v>280</v>
      </c>
      <c r="F400" s="228" t="s">
        <v>19</v>
      </c>
      <c r="G400" s="162">
        <v>80000</v>
      </c>
      <c r="H400" s="162">
        <v>0</v>
      </c>
      <c r="I400" s="162">
        <f t="shared" si="376"/>
        <v>80000</v>
      </c>
      <c r="J400" s="163">
        <f>IF(G400&gt;=Datos!$D$14,(Datos!$D$14*Datos!$C$14),IF(G400&lt;=Datos!$D$14,(G400*Datos!$C$14)))</f>
        <v>2296</v>
      </c>
      <c r="K400" s="164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7400.8606666666674</v>
      </c>
      <c r="L400" s="163">
        <f>IF(G400&gt;=Datos!$D$15,(Datos!$D$15*Datos!$C$15),IF(G400&lt;=Datos!$D$15,(G400*Datos!$C$15)))</f>
        <v>2432</v>
      </c>
      <c r="M400" s="162">
        <v>25</v>
      </c>
      <c r="N400" s="162">
        <f t="shared" si="390"/>
        <v>12153.860666666667</v>
      </c>
      <c r="O400" s="191">
        <f t="shared" si="391"/>
        <v>67846.139333333325</v>
      </c>
    </row>
    <row r="401" spans="1:15" ht="36.75" customHeight="1" x14ac:dyDescent="0.2">
      <c r="A401" s="225">
        <v>311</v>
      </c>
      <c r="B401" s="227" t="s">
        <v>183</v>
      </c>
      <c r="C401" s="227" t="s">
        <v>284</v>
      </c>
      <c r="D401" s="99" t="s">
        <v>1060</v>
      </c>
      <c r="E401" s="228" t="s">
        <v>280</v>
      </c>
      <c r="F401" s="228" t="s">
        <v>19</v>
      </c>
      <c r="G401" s="162">
        <v>80000</v>
      </c>
      <c r="H401" s="162">
        <v>0</v>
      </c>
      <c r="I401" s="162">
        <f t="shared" si="376"/>
        <v>80000</v>
      </c>
      <c r="J401" s="163">
        <f>IF(G401&gt;=Datos!$D$14,(Datos!$D$14*Datos!$C$14),IF(G401&lt;=Datos!$D$14,(G401*Datos!$C$14)))</f>
        <v>2296</v>
      </c>
      <c r="K401" s="164">
        <v>6972</v>
      </c>
      <c r="L401" s="163">
        <f>IF(G401&gt;=Datos!$D$15,(Datos!$D$15*Datos!$C$15),IF(G401&lt;=Datos!$D$15,(G401*Datos!$C$15)))</f>
        <v>2432</v>
      </c>
      <c r="M401" s="162">
        <v>1740.46</v>
      </c>
      <c r="N401" s="162">
        <f t="shared" si="390"/>
        <v>13440.46</v>
      </c>
      <c r="O401" s="191">
        <f t="shared" si="391"/>
        <v>66559.540000000008</v>
      </c>
    </row>
    <row r="402" spans="1:15" ht="36.75" customHeight="1" x14ac:dyDescent="0.2">
      <c r="A402" s="225">
        <v>312</v>
      </c>
      <c r="B402" s="227" t="s">
        <v>111</v>
      </c>
      <c r="C402" s="227" t="s">
        <v>284</v>
      </c>
      <c r="D402" s="99" t="s">
        <v>288</v>
      </c>
      <c r="E402" s="228" t="s">
        <v>280</v>
      </c>
      <c r="F402" s="228" t="s">
        <v>19</v>
      </c>
      <c r="G402" s="162">
        <v>91046.81</v>
      </c>
      <c r="H402" s="162">
        <v>0</v>
      </c>
      <c r="I402" s="162">
        <f t="shared" si="376"/>
        <v>91046.81</v>
      </c>
      <c r="J402" s="163">
        <f>IF(G402&gt;=Datos!$D$14,(Datos!$D$14*Datos!$C$14),IF(G402&lt;=Datos!$D$14,(G402*Datos!$C$14)))</f>
        <v>2613.043447</v>
      </c>
      <c r="K402" s="164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9999.3465489166665</v>
      </c>
      <c r="L402" s="163">
        <f>IF(G402&gt;=Datos!$D$15,(Datos!$D$15*Datos!$C$15),IF(G402&lt;=Datos!$D$15,(G402*Datos!$C$15)))</f>
        <v>2767.8230239999998</v>
      </c>
      <c r="M402" s="162">
        <v>25</v>
      </c>
      <c r="N402" s="162">
        <f t="shared" si="390"/>
        <v>15405.213019916666</v>
      </c>
      <c r="O402" s="191">
        <f t="shared" si="391"/>
        <v>75641.596980083326</v>
      </c>
    </row>
    <row r="403" spans="1:15" ht="36.75" customHeight="1" x14ac:dyDescent="0.2">
      <c r="A403" s="225">
        <v>313</v>
      </c>
      <c r="B403" s="227" t="s">
        <v>98</v>
      </c>
      <c r="C403" s="227" t="s">
        <v>284</v>
      </c>
      <c r="D403" s="99" t="s">
        <v>310</v>
      </c>
      <c r="E403" s="228" t="s">
        <v>280</v>
      </c>
      <c r="F403" s="228" t="s">
        <v>19</v>
      </c>
      <c r="G403" s="162">
        <v>72600</v>
      </c>
      <c r="H403" s="162">
        <v>0</v>
      </c>
      <c r="I403" s="162">
        <f t="shared" ref="I403" si="392">SUM(G403:H403)</f>
        <v>72600</v>
      </c>
      <c r="J403" s="163">
        <f>IF(G403&gt;=Datos!$D$14,(Datos!$D$14*Datos!$C$14),IF(G403&lt;=Datos!$D$14,(G403*Datos!$C$14)))</f>
        <v>2083.62</v>
      </c>
      <c r="K403" s="164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5857.743666666669</v>
      </c>
      <c r="L403" s="163">
        <f>IF(G403&gt;=Datos!$D$15,(Datos!$D$15*Datos!$C$15),IF(G403&lt;=Datos!$D$15,(G403*Datos!$C$15)))</f>
        <v>2207.04</v>
      </c>
      <c r="M403" s="162">
        <v>25</v>
      </c>
      <c r="N403" s="162">
        <f t="shared" ref="N403" si="393">SUM(J403:M403)</f>
        <v>10173.403666666669</v>
      </c>
      <c r="O403" s="191">
        <f t="shared" ref="O403" si="394">+G403-N403</f>
        <v>62426.596333333335</v>
      </c>
    </row>
    <row r="404" spans="1:15" ht="36.75" customHeight="1" x14ac:dyDescent="0.2">
      <c r="A404" s="225">
        <v>314</v>
      </c>
      <c r="B404" s="227" t="s">
        <v>66</v>
      </c>
      <c r="C404" s="227" t="s">
        <v>284</v>
      </c>
      <c r="D404" s="99" t="s">
        <v>628</v>
      </c>
      <c r="E404" s="228" t="s">
        <v>280</v>
      </c>
      <c r="F404" s="228" t="s">
        <v>19</v>
      </c>
      <c r="G404" s="162">
        <v>78650</v>
      </c>
      <c r="H404" s="162">
        <v>0</v>
      </c>
      <c r="I404" s="162">
        <f t="shared" si="376"/>
        <v>78650</v>
      </c>
      <c r="J404" s="163">
        <f>IF(G404&gt;=Datos!$D$14,(Datos!$D$14*Datos!$C$14),IF(G404&lt;=Datos!$D$14,(G404*Datos!$C$14)))</f>
        <v>2257.2550000000001</v>
      </c>
      <c r="K404" s="164">
        <f>IF((G404-J404-L404)&lt;=Datos!$G$7,"0",IF((G404-J404-L404)&lt;=Datos!$G$8,((G404-J404-L404)-Datos!$F$8)*Datos!$I$6,IF((G404-J404-L404)&lt;=Datos!$G$9,Datos!$I$8+((G404-J404-L404)-Datos!$F$9)*Datos!$J$6,IF((G404-J404-L404)&gt;=Datos!$F$10,(Datos!$I$8+Datos!$J$8)+((G404-J404-L404)-Datos!$F$10)*Datos!$K$6))))</f>
        <v>7083.3069166666646</v>
      </c>
      <c r="L404" s="163">
        <f>IF(G404&gt;=Datos!$D$15,(Datos!$D$15*Datos!$C$15),IF(G404&lt;=Datos!$D$15,(G404*Datos!$C$15)))</f>
        <v>2390.96</v>
      </c>
      <c r="M404" s="162">
        <v>25</v>
      </c>
      <c r="N404" s="162">
        <f t="shared" si="390"/>
        <v>11756.521916666665</v>
      </c>
      <c r="O404" s="191">
        <f t="shared" si="391"/>
        <v>66893.478083333335</v>
      </c>
    </row>
    <row r="405" spans="1:15" ht="36.75" customHeight="1" x14ac:dyDescent="0.2">
      <c r="A405" s="225">
        <v>315</v>
      </c>
      <c r="B405" s="227" t="s">
        <v>233</v>
      </c>
      <c r="C405" s="227" t="s">
        <v>284</v>
      </c>
      <c r="D405" s="99" t="s">
        <v>628</v>
      </c>
      <c r="E405" s="228" t="s">
        <v>280</v>
      </c>
      <c r="F405" s="228" t="s">
        <v>19</v>
      </c>
      <c r="G405" s="162">
        <v>78650</v>
      </c>
      <c r="H405" s="162">
        <v>0</v>
      </c>
      <c r="I405" s="162">
        <f t="shared" ref="I405" si="395">SUM(G405:H405)</f>
        <v>78650</v>
      </c>
      <c r="J405" s="163">
        <f>IF(G405&gt;=Datos!$D$14,(Datos!$D$14*Datos!$C$14),IF(G405&lt;=Datos!$D$14,(G405*Datos!$C$14)))</f>
        <v>2257.2550000000001</v>
      </c>
      <c r="K405" s="164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7083.3069166666646</v>
      </c>
      <c r="L405" s="163">
        <f>IF(G405&gt;=Datos!$D$15,(Datos!$D$15*Datos!$C$15),IF(G405&lt;=Datos!$D$15,(G405*Datos!$C$15)))</f>
        <v>2390.96</v>
      </c>
      <c r="M405" s="162">
        <v>25</v>
      </c>
      <c r="N405" s="162">
        <f t="shared" ref="N405" si="396">SUM(J405:M405)</f>
        <v>11756.521916666665</v>
      </c>
      <c r="O405" s="191">
        <f t="shared" ref="O405" si="397">+G405-N405</f>
        <v>66893.478083333335</v>
      </c>
    </row>
    <row r="406" spans="1:15" s="234" customFormat="1" ht="36.75" customHeight="1" x14ac:dyDescent="0.2">
      <c r="A406" s="277" t="s">
        <v>455</v>
      </c>
      <c r="B406" s="278"/>
      <c r="C406" s="232">
        <v>18</v>
      </c>
      <c r="D406" s="232"/>
      <c r="E406" s="233"/>
      <c r="F406" s="166"/>
      <c r="G406" s="167">
        <f t="shared" ref="G406:O406" si="398">SUM(G388:G405)</f>
        <v>1363808.44</v>
      </c>
      <c r="H406" s="167">
        <f t="shared" si="398"/>
        <v>0</v>
      </c>
      <c r="I406" s="167">
        <f t="shared" si="398"/>
        <v>1363808.44</v>
      </c>
      <c r="J406" s="167">
        <f t="shared" si="398"/>
        <v>39141.302227999993</v>
      </c>
      <c r="K406" s="167">
        <f t="shared" si="398"/>
        <v>121012.32496566669</v>
      </c>
      <c r="L406" s="167">
        <f t="shared" si="398"/>
        <v>41459.776575999997</v>
      </c>
      <c r="M406" s="167">
        <f t="shared" si="398"/>
        <v>2165.46</v>
      </c>
      <c r="N406" s="167">
        <f t="shared" si="398"/>
        <v>203778.86376966664</v>
      </c>
      <c r="O406" s="167">
        <f t="shared" si="398"/>
        <v>1160029.5762303332</v>
      </c>
    </row>
    <row r="407" spans="1:15" ht="36.75" customHeight="1" x14ac:dyDescent="0.2">
      <c r="A407" s="277" t="s">
        <v>685</v>
      </c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9"/>
    </row>
    <row r="408" spans="1:15" ht="36.75" customHeight="1" x14ac:dyDescent="0.2">
      <c r="A408" s="225">
        <v>316</v>
      </c>
      <c r="B408" s="227" t="s">
        <v>405</v>
      </c>
      <c r="C408" s="227" t="s">
        <v>286</v>
      </c>
      <c r="D408" s="227" t="s">
        <v>452</v>
      </c>
      <c r="E408" s="228" t="s">
        <v>280</v>
      </c>
      <c r="F408" s="228" t="s">
        <v>19</v>
      </c>
      <c r="G408" s="162">
        <f>21500+13500</f>
        <v>35000</v>
      </c>
      <c r="H408" s="162">
        <v>0</v>
      </c>
      <c r="I408" s="162">
        <f t="shared" ref="I408:I425" si="399">SUM(G408:H408)</f>
        <v>35000</v>
      </c>
      <c r="J408" s="163">
        <f>IF(G408&gt;=Datos!$D$14,(Datos!$D$14*Datos!$C$14),IF(G408&lt;=Datos!$D$14,(G408*Datos!$C$14)))</f>
        <v>1004.5</v>
      </c>
      <c r="K408" s="164" t="str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0</v>
      </c>
      <c r="L408" s="163">
        <f>IF(G408&gt;=Datos!$D$15,(Datos!$D$15*Datos!$C$15),IF(G408&lt;=Datos!$D$15,(G408*Datos!$C$15)))</f>
        <v>1064</v>
      </c>
      <c r="M408" s="162">
        <v>12453.67</v>
      </c>
      <c r="N408" s="162">
        <f t="shared" ref="N408:N411" si="400">SUM(J408:M408)</f>
        <v>14522.17</v>
      </c>
      <c r="O408" s="191">
        <f t="shared" ref="O408:O411" si="401">+G408-N408</f>
        <v>20477.830000000002</v>
      </c>
    </row>
    <row r="409" spans="1:15" ht="36.75" customHeight="1" x14ac:dyDescent="0.2">
      <c r="A409" s="225">
        <v>317</v>
      </c>
      <c r="B409" s="227" t="s">
        <v>210</v>
      </c>
      <c r="C409" s="227" t="s">
        <v>286</v>
      </c>
      <c r="D409" s="99" t="s">
        <v>710</v>
      </c>
      <c r="E409" s="228" t="s">
        <v>280</v>
      </c>
      <c r="F409" s="228" t="s">
        <v>19</v>
      </c>
      <c r="G409" s="162">
        <v>72600</v>
      </c>
      <c r="H409" s="162">
        <v>0</v>
      </c>
      <c r="I409" s="162">
        <f t="shared" si="399"/>
        <v>72600</v>
      </c>
      <c r="J409" s="163">
        <f>IF(G409&gt;=Datos!$D$14,(Datos!$D$14*Datos!$C$14),IF(G409&lt;=Datos!$D$14,(G409*Datos!$C$14)))</f>
        <v>2083.62</v>
      </c>
      <c r="K409" s="164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5857.743666666669</v>
      </c>
      <c r="L409" s="163">
        <f>IF(G409&gt;=Datos!$D$15,(Datos!$D$15*Datos!$C$15),IF(G409&lt;=Datos!$D$15,(G409*Datos!$C$15)))</f>
        <v>2207.04</v>
      </c>
      <c r="M409" s="162">
        <v>25</v>
      </c>
      <c r="N409" s="162">
        <f t="shared" si="400"/>
        <v>10173.403666666669</v>
      </c>
      <c r="O409" s="191">
        <f t="shared" si="401"/>
        <v>62426.596333333335</v>
      </c>
    </row>
    <row r="410" spans="1:15" ht="36.75" customHeight="1" x14ac:dyDescent="0.2">
      <c r="A410" s="225">
        <v>318</v>
      </c>
      <c r="B410" s="227" t="s">
        <v>522</v>
      </c>
      <c r="C410" s="227" t="s">
        <v>286</v>
      </c>
      <c r="D410" s="227" t="s">
        <v>452</v>
      </c>
      <c r="E410" s="228" t="s">
        <v>280</v>
      </c>
      <c r="F410" s="228" t="s">
        <v>281</v>
      </c>
      <c r="G410" s="162">
        <v>35000</v>
      </c>
      <c r="H410" s="162">
        <v>0</v>
      </c>
      <c r="I410" s="162">
        <f t="shared" si="399"/>
        <v>35000</v>
      </c>
      <c r="J410" s="163">
        <f>IF(G410&gt;=Datos!$D$14,(Datos!$D$14*Datos!$C$14),IF(G410&lt;=Datos!$D$14,(G410*Datos!$C$14)))</f>
        <v>1004.5</v>
      </c>
      <c r="K410" s="164" t="str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0</v>
      </c>
      <c r="L410" s="163">
        <f>IF(G410&gt;=Datos!$D$15,(Datos!$D$15*Datos!$C$15),IF(G410&lt;=Datos!$D$15,(G410*Datos!$C$15)))</f>
        <v>1064</v>
      </c>
      <c r="M410" s="162">
        <v>25</v>
      </c>
      <c r="N410" s="162">
        <f t="shared" si="400"/>
        <v>2093.5</v>
      </c>
      <c r="O410" s="191">
        <f t="shared" si="401"/>
        <v>32906.5</v>
      </c>
    </row>
    <row r="411" spans="1:15" ht="36.75" customHeight="1" x14ac:dyDescent="0.2">
      <c r="A411" s="225">
        <v>319</v>
      </c>
      <c r="B411" s="227" t="s">
        <v>116</v>
      </c>
      <c r="C411" s="227" t="s">
        <v>286</v>
      </c>
      <c r="D411" s="227" t="s">
        <v>607</v>
      </c>
      <c r="E411" s="228" t="s">
        <v>280</v>
      </c>
      <c r="F411" s="228" t="s">
        <v>19</v>
      </c>
      <c r="G411" s="162">
        <v>72600</v>
      </c>
      <c r="H411" s="162">
        <v>0</v>
      </c>
      <c r="I411" s="162">
        <f t="shared" si="399"/>
        <v>72600</v>
      </c>
      <c r="J411" s="163">
        <f>IF(G411&gt;=Datos!$D$14,(Datos!$D$14*Datos!$C$14),IF(G411&lt;=Datos!$D$14,(G411*Datos!$C$14)))</f>
        <v>2083.62</v>
      </c>
      <c r="K411" s="164">
        <v>5514.65</v>
      </c>
      <c r="L411" s="163">
        <f>IF(G411&gt;=Datos!$D$15,(Datos!$D$15*Datos!$C$15),IF(G411&lt;=Datos!$D$15,(G411*Datos!$C$15)))</f>
        <v>2207.04</v>
      </c>
      <c r="M411" s="162">
        <v>1740.46</v>
      </c>
      <c r="N411" s="162">
        <f t="shared" si="400"/>
        <v>11545.77</v>
      </c>
      <c r="O411" s="191">
        <f t="shared" si="401"/>
        <v>61054.229999999996</v>
      </c>
    </row>
    <row r="412" spans="1:15" ht="36.75" customHeight="1" x14ac:dyDescent="0.2">
      <c r="A412" s="225">
        <v>320</v>
      </c>
      <c r="B412" s="227" t="s">
        <v>143</v>
      </c>
      <c r="C412" s="227" t="s">
        <v>286</v>
      </c>
      <c r="D412" s="99" t="s">
        <v>870</v>
      </c>
      <c r="E412" s="228" t="s">
        <v>280</v>
      </c>
      <c r="F412" s="228" t="s">
        <v>19</v>
      </c>
      <c r="G412" s="162">
        <v>72600</v>
      </c>
      <c r="H412" s="162">
        <v>0</v>
      </c>
      <c r="I412" s="162">
        <f t="shared" si="399"/>
        <v>72600</v>
      </c>
      <c r="J412" s="163">
        <f>IF(G412&gt;=Datos!$D$14,(Datos!$D$14*Datos!$C$14),IF(G412&lt;=Datos!$D$14,(G412*Datos!$C$14)))</f>
        <v>2083.62</v>
      </c>
      <c r="K412" s="164">
        <v>5514.65</v>
      </c>
      <c r="L412" s="163">
        <f>IF(G412&gt;=Datos!$D$15,(Datos!$D$15*Datos!$C$15),IF(G412&lt;=Datos!$D$15,(G412*Datos!$C$15)))</f>
        <v>2207.04</v>
      </c>
      <c r="M412" s="162">
        <v>4740.46</v>
      </c>
      <c r="N412" s="162">
        <f t="shared" ref="N412:N415" si="402">SUM(J412:M412)</f>
        <v>14545.77</v>
      </c>
      <c r="O412" s="191">
        <f t="shared" ref="O412:O415" si="403">+G412-N412</f>
        <v>58054.229999999996</v>
      </c>
    </row>
    <row r="413" spans="1:15" ht="36.75" customHeight="1" x14ac:dyDescent="0.2">
      <c r="A413" s="225">
        <v>321</v>
      </c>
      <c r="B413" s="227" t="s">
        <v>142</v>
      </c>
      <c r="C413" s="227" t="s">
        <v>286</v>
      </c>
      <c r="D413" s="99" t="s">
        <v>870</v>
      </c>
      <c r="E413" s="228" t="s">
        <v>280</v>
      </c>
      <c r="F413" s="228" t="s">
        <v>19</v>
      </c>
      <c r="G413" s="162">
        <v>60000</v>
      </c>
      <c r="H413" s="162">
        <v>0</v>
      </c>
      <c r="I413" s="162">
        <f t="shared" si="399"/>
        <v>60000</v>
      </c>
      <c r="J413" s="163">
        <f>IF(G413&gt;=Datos!$D$14,(Datos!$D$14*Datos!$C$14),IF(G413&lt;=Datos!$D$14,(G413*Datos!$C$14)))</f>
        <v>1722</v>
      </c>
      <c r="K413" s="164">
        <v>3143.58</v>
      </c>
      <c r="L413" s="163">
        <f>IF(G413&gt;=Datos!$D$15,(Datos!$D$15*Datos!$C$15),IF(G413&lt;=Datos!$D$15,(G413*Datos!$C$15)))</f>
        <v>1824</v>
      </c>
      <c r="M413" s="162">
        <v>2740.46</v>
      </c>
      <c r="N413" s="162">
        <f t="shared" si="402"/>
        <v>9430.0400000000009</v>
      </c>
      <c r="O413" s="191">
        <f t="shared" si="403"/>
        <v>50569.96</v>
      </c>
    </row>
    <row r="414" spans="1:15" ht="36.75" customHeight="1" x14ac:dyDescent="0.2">
      <c r="A414" s="225">
        <v>322</v>
      </c>
      <c r="B414" s="227" t="s">
        <v>166</v>
      </c>
      <c r="C414" s="227" t="s">
        <v>286</v>
      </c>
      <c r="D414" s="137" t="s">
        <v>622</v>
      </c>
      <c r="E414" s="228" t="s">
        <v>280</v>
      </c>
      <c r="F414" s="228" t="s">
        <v>19</v>
      </c>
      <c r="G414" s="162">
        <v>72600</v>
      </c>
      <c r="H414" s="162">
        <v>0</v>
      </c>
      <c r="I414" s="162">
        <f t="shared" si="399"/>
        <v>72600</v>
      </c>
      <c r="J414" s="163">
        <f>IF(G414&gt;=Datos!$D$14,(Datos!$D$14*Datos!$C$14),IF(G414&lt;=Datos!$D$14,(G414*Datos!$C$14)))</f>
        <v>2083.62</v>
      </c>
      <c r="K414" s="164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5857.743666666669</v>
      </c>
      <c r="L414" s="163">
        <f>IF(G414&gt;=Datos!$D$15,(Datos!$D$15*Datos!$C$15),IF(G414&lt;=Datos!$D$15,(G414*Datos!$C$15)))</f>
        <v>2207.04</v>
      </c>
      <c r="M414" s="162">
        <v>25</v>
      </c>
      <c r="N414" s="162">
        <f t="shared" si="402"/>
        <v>10173.403666666669</v>
      </c>
      <c r="O414" s="191">
        <f t="shared" si="403"/>
        <v>62426.596333333335</v>
      </c>
    </row>
    <row r="415" spans="1:15" ht="36.75" customHeight="1" x14ac:dyDescent="0.2">
      <c r="A415" s="225">
        <v>323</v>
      </c>
      <c r="B415" s="227" t="s">
        <v>124</v>
      </c>
      <c r="C415" s="227" t="s">
        <v>286</v>
      </c>
      <c r="D415" s="99" t="s">
        <v>452</v>
      </c>
      <c r="E415" s="228" t="s">
        <v>280</v>
      </c>
      <c r="F415" s="228" t="s">
        <v>19</v>
      </c>
      <c r="G415" s="162">
        <v>35000</v>
      </c>
      <c r="H415" s="162">
        <v>0</v>
      </c>
      <c r="I415" s="162">
        <f t="shared" si="399"/>
        <v>35000</v>
      </c>
      <c r="J415" s="163">
        <f>IF(G415&gt;=Datos!$D$14,(Datos!$D$14*Datos!$C$14),IF(G415&lt;=Datos!$D$14,(G415*Datos!$C$14)))</f>
        <v>1004.5</v>
      </c>
      <c r="K415" s="164" t="str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0</v>
      </c>
      <c r="L415" s="163">
        <f>IF(G415&gt;=Datos!$D$15,(Datos!$D$15*Datos!$C$15),IF(G415&lt;=Datos!$D$15,(G415*Datos!$C$15)))</f>
        <v>1064</v>
      </c>
      <c r="M415" s="162">
        <v>25</v>
      </c>
      <c r="N415" s="162">
        <f t="shared" si="402"/>
        <v>2093.5</v>
      </c>
      <c r="O415" s="191">
        <f t="shared" si="403"/>
        <v>32906.5</v>
      </c>
    </row>
    <row r="416" spans="1:15" ht="36.75" customHeight="1" x14ac:dyDescent="0.2">
      <c r="A416" s="225">
        <v>324</v>
      </c>
      <c r="B416" s="227" t="s">
        <v>837</v>
      </c>
      <c r="C416" s="227" t="s">
        <v>286</v>
      </c>
      <c r="D416" s="227" t="s">
        <v>452</v>
      </c>
      <c r="E416" s="228" t="s">
        <v>280</v>
      </c>
      <c r="F416" s="228" t="s">
        <v>281</v>
      </c>
      <c r="G416" s="162">
        <v>35000</v>
      </c>
      <c r="H416" s="162">
        <v>0</v>
      </c>
      <c r="I416" s="162">
        <f t="shared" si="399"/>
        <v>35000</v>
      </c>
      <c r="J416" s="163">
        <f>IF(G416&gt;=Datos!$D$14,(Datos!$D$14*Datos!$C$14),IF(G416&lt;=Datos!$D$14,(G416*Datos!$C$14)))</f>
        <v>1004.5</v>
      </c>
      <c r="K416" s="164" t="str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0</v>
      </c>
      <c r="L416" s="163">
        <f>IF(G416&gt;=Datos!$D$15,(Datos!$D$15*Datos!$C$15),IF(G416&lt;=Datos!$D$15,(G416*Datos!$C$15)))</f>
        <v>1064</v>
      </c>
      <c r="M416" s="162">
        <v>25</v>
      </c>
      <c r="N416" s="162">
        <f t="shared" ref="N416:N421" si="404">SUM(J416:M416)</f>
        <v>2093.5</v>
      </c>
      <c r="O416" s="191">
        <f t="shared" ref="O416:O423" si="405">+G416-N416</f>
        <v>32906.5</v>
      </c>
    </row>
    <row r="417" spans="1:16" ht="36.75" customHeight="1" x14ac:dyDescent="0.2">
      <c r="A417" s="225">
        <v>325</v>
      </c>
      <c r="B417" s="227" t="s">
        <v>836</v>
      </c>
      <c r="C417" s="227" t="s">
        <v>286</v>
      </c>
      <c r="D417" s="137" t="s">
        <v>1059</v>
      </c>
      <c r="E417" s="228" t="s">
        <v>280</v>
      </c>
      <c r="F417" s="228" t="s">
        <v>19</v>
      </c>
      <c r="G417" s="162">
        <v>68250</v>
      </c>
      <c r="H417" s="162">
        <v>0</v>
      </c>
      <c r="I417" s="162">
        <f t="shared" si="399"/>
        <v>68250</v>
      </c>
      <c r="J417" s="163">
        <f>IF(G417&gt;=Datos!$D$14,(Datos!$D$14*Datos!$C$14),IF(G417&lt;=Datos!$D$14,(G417*Datos!$C$14)))</f>
        <v>1958.7750000000001</v>
      </c>
      <c r="K417" s="164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5039.1606666666667</v>
      </c>
      <c r="L417" s="163">
        <f>IF(G417&gt;=Datos!$D$15,(Datos!$D$15*Datos!$C$15),IF(G417&lt;=Datos!$D$15,(G417*Datos!$C$15)))</f>
        <v>2074.8000000000002</v>
      </c>
      <c r="M417" s="162">
        <v>5025</v>
      </c>
      <c r="N417" s="162">
        <f t="shared" si="404"/>
        <v>14097.735666666667</v>
      </c>
      <c r="O417" s="191">
        <f t="shared" si="405"/>
        <v>54152.264333333333</v>
      </c>
    </row>
    <row r="418" spans="1:16" ht="36.75" customHeight="1" x14ac:dyDescent="0.2">
      <c r="A418" s="225">
        <v>326</v>
      </c>
      <c r="B418" s="227" t="s">
        <v>113</v>
      </c>
      <c r="C418" s="227" t="s">
        <v>286</v>
      </c>
      <c r="D418" s="137" t="s">
        <v>452</v>
      </c>
      <c r="E418" s="228" t="s">
        <v>280</v>
      </c>
      <c r="F418" s="228" t="s">
        <v>19</v>
      </c>
      <c r="G418" s="162">
        <v>35000</v>
      </c>
      <c r="H418" s="162">
        <v>0</v>
      </c>
      <c r="I418" s="162">
        <f t="shared" si="399"/>
        <v>35000</v>
      </c>
      <c r="J418" s="163">
        <f>IF(G418&gt;=Datos!$D$14,(Datos!$D$14*Datos!$C$14),IF(G418&lt;=Datos!$D$14,(G418*Datos!$C$14)))</f>
        <v>1004.5</v>
      </c>
      <c r="K418" s="164" t="str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0</v>
      </c>
      <c r="L418" s="163">
        <f>IF(G418&gt;=Datos!$D$15,(Datos!$D$15*Datos!$C$15),IF(G418&lt;=Datos!$D$15,(G418*Datos!$C$15)))</f>
        <v>1064</v>
      </c>
      <c r="M418" s="162">
        <v>25</v>
      </c>
      <c r="N418" s="162">
        <f t="shared" si="404"/>
        <v>2093.5</v>
      </c>
      <c r="O418" s="191">
        <f t="shared" si="405"/>
        <v>32906.5</v>
      </c>
    </row>
    <row r="419" spans="1:16" ht="36.75" customHeight="1" x14ac:dyDescent="0.2">
      <c r="A419" s="225">
        <v>327</v>
      </c>
      <c r="B419" s="227" t="s">
        <v>295</v>
      </c>
      <c r="C419" s="227" t="s">
        <v>286</v>
      </c>
      <c r="D419" s="227" t="s">
        <v>607</v>
      </c>
      <c r="E419" s="228" t="s">
        <v>280</v>
      </c>
      <c r="F419" s="228" t="s">
        <v>19</v>
      </c>
      <c r="G419" s="162">
        <v>72600</v>
      </c>
      <c r="H419" s="162">
        <v>0</v>
      </c>
      <c r="I419" s="162">
        <f t="shared" si="399"/>
        <v>72600</v>
      </c>
      <c r="J419" s="163">
        <f>IF(G419&gt;=Datos!$D$14,(Datos!$D$14*Datos!$C$14),IF(G419&lt;=Datos!$D$14,(G419*Datos!$C$14)))</f>
        <v>2083.62</v>
      </c>
      <c r="K419" s="164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5857.743666666669</v>
      </c>
      <c r="L419" s="163">
        <f>IF(G419&gt;=Datos!$D$15,(Datos!$D$15*Datos!$C$15),IF(G419&lt;=Datos!$D$15,(G419*Datos!$C$15)))</f>
        <v>2207.04</v>
      </c>
      <c r="M419" s="162">
        <v>9582.74</v>
      </c>
      <c r="N419" s="162">
        <f t="shared" si="404"/>
        <v>19731.14366666667</v>
      </c>
      <c r="O419" s="191">
        <f t="shared" si="405"/>
        <v>52868.85633333333</v>
      </c>
    </row>
    <row r="420" spans="1:16" ht="36.75" customHeight="1" x14ac:dyDescent="0.2">
      <c r="A420" s="225">
        <v>328</v>
      </c>
      <c r="B420" s="227" t="s">
        <v>50</v>
      </c>
      <c r="C420" s="227" t="s">
        <v>286</v>
      </c>
      <c r="D420" s="137" t="s">
        <v>622</v>
      </c>
      <c r="E420" s="228" t="s">
        <v>280</v>
      </c>
      <c r="F420" s="228" t="s">
        <v>19</v>
      </c>
      <c r="G420" s="162">
        <v>72600</v>
      </c>
      <c r="H420" s="162">
        <v>0</v>
      </c>
      <c r="I420" s="162">
        <f t="shared" si="399"/>
        <v>72600</v>
      </c>
      <c r="J420" s="163">
        <f>IF(G420&gt;=Datos!$D$14,(Datos!$D$14*Datos!$C$14),IF(G420&lt;=Datos!$D$14,(G420*Datos!$C$14)))</f>
        <v>2083.62</v>
      </c>
      <c r="K420" s="164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5857.743666666669</v>
      </c>
      <c r="L420" s="163">
        <f>IF(G420&gt;=Datos!$D$15,(Datos!$D$15*Datos!$C$15),IF(G420&lt;=Datos!$D$15,(G420*Datos!$C$15)))</f>
        <v>2207.04</v>
      </c>
      <c r="M420" s="162">
        <v>25</v>
      </c>
      <c r="N420" s="162">
        <f t="shared" si="404"/>
        <v>10173.403666666669</v>
      </c>
      <c r="O420" s="191">
        <f t="shared" si="405"/>
        <v>62426.596333333335</v>
      </c>
    </row>
    <row r="421" spans="1:16" ht="36.75" customHeight="1" x14ac:dyDescent="0.2">
      <c r="A421" s="225">
        <v>329</v>
      </c>
      <c r="B421" s="227" t="s">
        <v>59</v>
      </c>
      <c r="C421" s="227" t="s">
        <v>286</v>
      </c>
      <c r="D421" s="137" t="s">
        <v>452</v>
      </c>
      <c r="E421" s="228" t="s">
        <v>280</v>
      </c>
      <c r="F421" s="228" t="s">
        <v>19</v>
      </c>
      <c r="G421" s="162">
        <v>35000</v>
      </c>
      <c r="H421" s="162">
        <v>0</v>
      </c>
      <c r="I421" s="162">
        <f t="shared" si="399"/>
        <v>35000</v>
      </c>
      <c r="J421" s="163">
        <f>IF(G421&gt;=Datos!$D$14,(Datos!$D$14*Datos!$C$14),IF(G421&lt;=Datos!$D$14,(G421*Datos!$C$14)))</f>
        <v>1004.5</v>
      </c>
      <c r="K421" s="164" t="str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0</v>
      </c>
      <c r="L421" s="163">
        <f>IF(G421&gt;=Datos!$D$15,(Datos!$D$15*Datos!$C$15),IF(G421&lt;=Datos!$D$15,(G421*Datos!$C$15)))</f>
        <v>1064</v>
      </c>
      <c r="M421" s="162">
        <v>1025</v>
      </c>
      <c r="N421" s="162">
        <f t="shared" si="404"/>
        <v>3093.5</v>
      </c>
      <c r="O421" s="191">
        <f t="shared" si="405"/>
        <v>31906.5</v>
      </c>
    </row>
    <row r="422" spans="1:16" ht="36.75" customHeight="1" x14ac:dyDescent="0.2">
      <c r="A422" s="225">
        <v>330</v>
      </c>
      <c r="B422" s="247" t="s">
        <v>514</v>
      </c>
      <c r="C422" s="227" t="s">
        <v>286</v>
      </c>
      <c r="D422" s="137" t="s">
        <v>607</v>
      </c>
      <c r="E422" s="228" t="s">
        <v>280</v>
      </c>
      <c r="F422" s="228" t="s">
        <v>281</v>
      </c>
      <c r="G422" s="162">
        <v>72600</v>
      </c>
      <c r="H422" s="162">
        <v>0</v>
      </c>
      <c r="I422" s="162">
        <f t="shared" si="399"/>
        <v>72600</v>
      </c>
      <c r="J422" s="163">
        <f>IF(G422&gt;=Datos!$D$14,(Datos!$D$14*Datos!$C$14),IF(G422&lt;=Datos!$D$14,(G422*Datos!$C$14)))</f>
        <v>2083.62</v>
      </c>
      <c r="K422" s="164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5857.743666666669</v>
      </c>
      <c r="L422" s="163">
        <f>IF(G422&gt;=Datos!$D$15,(Datos!$D$15*Datos!$C$15),IF(G422&lt;=Datos!$D$15,(G422*Datos!$C$15)))</f>
        <v>2207.04</v>
      </c>
      <c r="M422" s="162">
        <v>9388.7999999999993</v>
      </c>
      <c r="N422" s="162">
        <f>SUM(J422:M422)</f>
        <v>19537.203666666668</v>
      </c>
      <c r="O422" s="191">
        <f t="shared" si="405"/>
        <v>53062.796333333332</v>
      </c>
    </row>
    <row r="423" spans="1:16" ht="36.75" customHeight="1" x14ac:dyDescent="0.2">
      <c r="A423" s="225">
        <v>331</v>
      </c>
      <c r="B423" s="227" t="s">
        <v>171</v>
      </c>
      <c r="C423" s="227" t="s">
        <v>286</v>
      </c>
      <c r="D423" s="227" t="s">
        <v>288</v>
      </c>
      <c r="E423" s="228" t="s">
        <v>280</v>
      </c>
      <c r="F423" s="228" t="s">
        <v>19</v>
      </c>
      <c r="G423" s="162">
        <v>72600</v>
      </c>
      <c r="H423" s="162">
        <v>0</v>
      </c>
      <c r="I423" s="162">
        <f t="shared" si="399"/>
        <v>72600</v>
      </c>
      <c r="J423" s="163">
        <f>IF(G423&gt;=Datos!$D$14,(Datos!$D$14*Datos!$C$14),IF(G423&lt;=Datos!$D$14,(G423*Datos!$C$14)))</f>
        <v>2083.62</v>
      </c>
      <c r="K423" s="164">
        <v>5171.5600000000004</v>
      </c>
      <c r="L423" s="163">
        <f>IF(G423&gt;=Datos!$D$15,(Datos!$D$15*Datos!$C$15),IF(G423&lt;=Datos!$D$15,(G423*Datos!$C$15)))</f>
        <v>2207.04</v>
      </c>
      <c r="M423" s="162">
        <v>3455.92</v>
      </c>
      <c r="N423" s="162">
        <f t="shared" ref="N423" si="406">SUM(J423:M423)</f>
        <v>12918.140000000001</v>
      </c>
      <c r="O423" s="191">
        <f t="shared" si="405"/>
        <v>59681.86</v>
      </c>
    </row>
    <row r="424" spans="1:16" ht="36.75" customHeight="1" x14ac:dyDescent="0.2">
      <c r="A424" s="225">
        <v>332</v>
      </c>
      <c r="B424" s="227" t="s">
        <v>89</v>
      </c>
      <c r="C424" s="227" t="s">
        <v>286</v>
      </c>
      <c r="D424" s="227" t="s">
        <v>608</v>
      </c>
      <c r="E424" s="228" t="s">
        <v>280</v>
      </c>
      <c r="F424" s="228" t="s">
        <v>19</v>
      </c>
      <c r="G424" s="162">
        <v>72600</v>
      </c>
      <c r="H424" s="162">
        <v>0</v>
      </c>
      <c r="I424" s="162">
        <f t="shared" ref="I424" si="407">SUM(G424:H424)</f>
        <v>72600</v>
      </c>
      <c r="J424" s="163">
        <f>IF(G424&gt;=Datos!$D$14,(Datos!$D$14*Datos!$C$14),IF(G424&lt;=Datos!$D$14,(G424*Datos!$C$14)))</f>
        <v>2083.62</v>
      </c>
      <c r="K424" s="164">
        <v>5514.65</v>
      </c>
      <c r="L424" s="163">
        <f>IF(G424&gt;=Datos!$D$15,(Datos!$D$15*Datos!$C$15),IF(G424&lt;=Datos!$D$15,(G424*Datos!$C$15)))</f>
        <v>2207.04</v>
      </c>
      <c r="M424" s="162">
        <v>1740.46</v>
      </c>
      <c r="N424" s="162">
        <f t="shared" ref="N424" si="408">SUM(J424:M424)</f>
        <v>11545.77</v>
      </c>
      <c r="O424" s="191">
        <f t="shared" ref="O424" si="409">+G424-N424</f>
        <v>61054.229999999996</v>
      </c>
    </row>
    <row r="425" spans="1:16" ht="36.75" customHeight="1" x14ac:dyDescent="0.2">
      <c r="A425" s="225">
        <v>333</v>
      </c>
      <c r="B425" s="227" t="s">
        <v>82</v>
      </c>
      <c r="C425" s="227" t="s">
        <v>286</v>
      </c>
      <c r="D425" s="99" t="s">
        <v>870</v>
      </c>
      <c r="E425" s="228" t="s">
        <v>280</v>
      </c>
      <c r="F425" s="228" t="s">
        <v>19</v>
      </c>
      <c r="G425" s="162">
        <v>72600</v>
      </c>
      <c r="H425" s="162">
        <v>0</v>
      </c>
      <c r="I425" s="162">
        <f t="shared" si="399"/>
        <v>72600</v>
      </c>
      <c r="J425" s="163">
        <f>IF(G425&gt;=Datos!$D$14,(Datos!$D$14*Datos!$C$14),IF(G425&lt;=Datos!$D$14,(G425*Datos!$C$14)))</f>
        <v>2083.62</v>
      </c>
      <c r="K425" s="164">
        <v>5514.65</v>
      </c>
      <c r="L425" s="163">
        <f>IF(G425&gt;=Datos!$D$15,(Datos!$D$15*Datos!$C$15),IF(G425&lt;=Datos!$D$15,(G425*Datos!$C$15)))</f>
        <v>2207.04</v>
      </c>
      <c r="M425" s="162">
        <v>1740.46</v>
      </c>
      <c r="N425" s="162">
        <f t="shared" ref="N425" si="410">SUM(J425:M425)</f>
        <v>11545.77</v>
      </c>
      <c r="O425" s="191">
        <f t="shared" ref="O425" si="411">+G425-N425</f>
        <v>61054.229999999996</v>
      </c>
    </row>
    <row r="426" spans="1:16" s="234" customFormat="1" ht="36.75" customHeight="1" x14ac:dyDescent="0.2">
      <c r="A426" s="277" t="s">
        <v>455</v>
      </c>
      <c r="B426" s="278"/>
      <c r="C426" s="232">
        <v>18</v>
      </c>
      <c r="D426" s="232"/>
      <c r="E426" s="233"/>
      <c r="F426" s="166"/>
      <c r="G426" s="167">
        <f>SUM(G408:G425)</f>
        <v>1064250</v>
      </c>
      <c r="H426" s="167">
        <f t="shared" ref="H426:O426" si="412">SUM(H408:H425)</f>
        <v>0</v>
      </c>
      <c r="I426" s="167">
        <f t="shared" si="412"/>
        <v>1064250</v>
      </c>
      <c r="J426" s="167">
        <f t="shared" si="412"/>
        <v>30543.974999999991</v>
      </c>
      <c r="K426" s="167">
        <f t="shared" si="412"/>
        <v>64701.619000000006</v>
      </c>
      <c r="L426" s="167">
        <f t="shared" si="412"/>
        <v>32353.200000000004</v>
      </c>
      <c r="M426" s="167">
        <f>SUM(M408:M425)</f>
        <v>53808.429999999993</v>
      </c>
      <c r="N426" s="167">
        <f t="shared" si="412"/>
        <v>181407.22399999999</v>
      </c>
      <c r="O426" s="167">
        <f t="shared" si="412"/>
        <v>882842.77599999995</v>
      </c>
      <c r="P426" s="224"/>
    </row>
    <row r="427" spans="1:16" ht="36.75" customHeight="1" x14ac:dyDescent="0.2">
      <c r="A427" s="277" t="s">
        <v>470</v>
      </c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9"/>
    </row>
    <row r="428" spans="1:16" ht="36.75" customHeight="1" x14ac:dyDescent="0.2">
      <c r="A428" s="225">
        <v>334</v>
      </c>
      <c r="B428" s="227" t="s">
        <v>209</v>
      </c>
      <c r="C428" s="227" t="s">
        <v>285</v>
      </c>
      <c r="D428" s="99" t="s">
        <v>450</v>
      </c>
      <c r="E428" s="228" t="s">
        <v>280</v>
      </c>
      <c r="F428" s="228" t="s">
        <v>19</v>
      </c>
      <c r="G428" s="162">
        <v>135000</v>
      </c>
      <c r="H428" s="162">
        <v>0</v>
      </c>
      <c r="I428" s="162">
        <f t="shared" ref="I428" si="413">SUM(G428:H428)</f>
        <v>135000</v>
      </c>
      <c r="J428" s="163">
        <f>IF(G428&gt;=Datos!$D$14,(Datos!$D$14*Datos!$C$14),IF(G428&lt;=Datos!$D$14,(G428*Datos!$C$14)))</f>
        <v>3874.5</v>
      </c>
      <c r="K428" s="164">
        <v>19909.38</v>
      </c>
      <c r="L428" s="163">
        <f>IF(G428&gt;=Datos!$D$15,(Datos!$D$15*Datos!$C$15),IF(G428&lt;=Datos!$D$15,(G428*Datos!$C$15)))</f>
        <v>4104</v>
      </c>
      <c r="M428" s="162">
        <v>1740.46</v>
      </c>
      <c r="N428" s="162">
        <f t="shared" ref="N428" si="414">SUM(J428:M428)</f>
        <v>29628.34</v>
      </c>
      <c r="O428" s="191">
        <f t="shared" ref="O428" si="415">+G428-N428</f>
        <v>105371.66</v>
      </c>
    </row>
    <row r="429" spans="1:16" s="234" customFormat="1" ht="36.75" customHeight="1" x14ac:dyDescent="0.2">
      <c r="A429" s="277" t="s">
        <v>455</v>
      </c>
      <c r="B429" s="278"/>
      <c r="C429" s="232">
        <v>1</v>
      </c>
      <c r="D429" s="232"/>
      <c r="E429" s="233"/>
      <c r="F429" s="166"/>
      <c r="G429" s="167">
        <f>SUM(G428)</f>
        <v>135000</v>
      </c>
      <c r="H429" s="167">
        <f t="shared" ref="H429:O429" si="416">SUM(H428)</f>
        <v>0</v>
      </c>
      <c r="I429" s="167">
        <f t="shared" si="416"/>
        <v>135000</v>
      </c>
      <c r="J429" s="167">
        <f t="shared" si="416"/>
        <v>3874.5</v>
      </c>
      <c r="K429" s="167">
        <f t="shared" si="416"/>
        <v>19909.38</v>
      </c>
      <c r="L429" s="167">
        <f t="shared" si="416"/>
        <v>4104</v>
      </c>
      <c r="M429" s="167">
        <f t="shared" si="416"/>
        <v>1740.46</v>
      </c>
      <c r="N429" s="167">
        <f t="shared" si="416"/>
        <v>29628.34</v>
      </c>
      <c r="O429" s="167">
        <f t="shared" si="416"/>
        <v>105371.66</v>
      </c>
      <c r="P429" s="224"/>
    </row>
    <row r="430" spans="1:16" ht="36.75" customHeight="1" x14ac:dyDescent="0.2">
      <c r="A430" s="277" t="s">
        <v>1072</v>
      </c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9"/>
    </row>
    <row r="431" spans="1:16" ht="36.75" customHeight="1" x14ac:dyDescent="0.2">
      <c r="A431" s="225">
        <v>335</v>
      </c>
      <c r="B431" s="99" t="s">
        <v>609</v>
      </c>
      <c r="C431" s="227" t="s">
        <v>285</v>
      </c>
      <c r="D431" s="227" t="s">
        <v>452</v>
      </c>
      <c r="E431" s="228" t="s">
        <v>280</v>
      </c>
      <c r="F431" s="228" t="s">
        <v>19</v>
      </c>
      <c r="G431" s="162">
        <v>35000</v>
      </c>
      <c r="H431" s="162">
        <v>0</v>
      </c>
      <c r="I431" s="162">
        <f t="shared" ref="I431:I481" si="417">SUM(G431:H431)</f>
        <v>35000</v>
      </c>
      <c r="J431" s="163">
        <f>IF(G431&gt;=Datos!$D$14,(Datos!$D$14*Datos!$C$14),IF(G431&lt;=Datos!$D$14,(G431*Datos!$C$14)))</f>
        <v>1004.5</v>
      </c>
      <c r="K431" s="164" t="str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0</v>
      </c>
      <c r="L431" s="163">
        <f>IF(G431&gt;=Datos!$D$15,(Datos!$D$15*Datos!$C$15),IF(G431&lt;=Datos!$D$15,(G431*Datos!$C$15)))</f>
        <v>1064</v>
      </c>
      <c r="M431" s="162">
        <v>25</v>
      </c>
      <c r="N431" s="162">
        <f t="shared" ref="N431:N470" si="418">SUM(J431:M431)</f>
        <v>2093.5</v>
      </c>
      <c r="O431" s="191">
        <f t="shared" ref="O431:O481" si="419">+G431-N431</f>
        <v>32906.5</v>
      </c>
    </row>
    <row r="432" spans="1:16" ht="36.75" customHeight="1" x14ac:dyDescent="0.2">
      <c r="A432" s="225">
        <v>336</v>
      </c>
      <c r="B432" s="99" t="s">
        <v>610</v>
      </c>
      <c r="C432" s="227" t="s">
        <v>285</v>
      </c>
      <c r="D432" s="227" t="s">
        <v>452</v>
      </c>
      <c r="E432" s="228" t="s">
        <v>280</v>
      </c>
      <c r="F432" s="228" t="s">
        <v>19</v>
      </c>
      <c r="G432" s="162">
        <v>35000</v>
      </c>
      <c r="H432" s="162">
        <v>0</v>
      </c>
      <c r="I432" s="162">
        <f t="shared" si="417"/>
        <v>35000</v>
      </c>
      <c r="J432" s="163">
        <f>IF(G432&gt;=Datos!$D$14,(Datos!$D$14*Datos!$C$14),IF(G432&lt;=Datos!$D$14,(G432*Datos!$C$14)))</f>
        <v>1004.5</v>
      </c>
      <c r="K432" s="164" t="str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0</v>
      </c>
      <c r="L432" s="163">
        <f>IF(G432&gt;=Datos!$D$15,(Datos!$D$15*Datos!$C$15),IF(G432&lt;=Datos!$D$15,(G432*Datos!$C$15)))</f>
        <v>1064</v>
      </c>
      <c r="M432" s="162">
        <v>25</v>
      </c>
      <c r="N432" s="162">
        <f t="shared" si="418"/>
        <v>2093.5</v>
      </c>
      <c r="O432" s="191">
        <f t="shared" si="419"/>
        <v>32906.5</v>
      </c>
    </row>
    <row r="433" spans="1:16" ht="36.75" customHeight="1" x14ac:dyDescent="0.2">
      <c r="A433" s="225">
        <v>337</v>
      </c>
      <c r="B433" s="99" t="s">
        <v>611</v>
      </c>
      <c r="C433" s="227" t="s">
        <v>285</v>
      </c>
      <c r="D433" s="227" t="s">
        <v>452</v>
      </c>
      <c r="E433" s="228" t="s">
        <v>280</v>
      </c>
      <c r="F433" s="228" t="s">
        <v>19</v>
      </c>
      <c r="G433" s="162">
        <v>35000</v>
      </c>
      <c r="H433" s="162">
        <v>0</v>
      </c>
      <c r="I433" s="162">
        <f t="shared" si="417"/>
        <v>35000</v>
      </c>
      <c r="J433" s="163">
        <f>IF(G433&gt;=Datos!$D$14,(Datos!$D$14*Datos!$C$14),IF(G433&lt;=Datos!$D$14,(G433*Datos!$C$14)))</f>
        <v>1004.5</v>
      </c>
      <c r="K433" s="164" t="str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0</v>
      </c>
      <c r="L433" s="163">
        <f>IF(G433&gt;=Datos!$D$15,(Datos!$D$15*Datos!$C$15),IF(G433&lt;=Datos!$D$15,(G433*Datos!$C$15)))</f>
        <v>1064</v>
      </c>
      <c r="M433" s="162">
        <v>25</v>
      </c>
      <c r="N433" s="162">
        <f t="shared" si="418"/>
        <v>2093.5</v>
      </c>
      <c r="O433" s="191">
        <f t="shared" si="419"/>
        <v>32906.5</v>
      </c>
    </row>
    <row r="434" spans="1:16" ht="36.75" customHeight="1" x14ac:dyDescent="0.2">
      <c r="A434" s="225">
        <v>338</v>
      </c>
      <c r="B434" s="99" t="s">
        <v>612</v>
      </c>
      <c r="C434" s="227" t="s">
        <v>285</v>
      </c>
      <c r="D434" s="227" t="s">
        <v>288</v>
      </c>
      <c r="E434" s="228" t="s">
        <v>280</v>
      </c>
      <c r="F434" s="228" t="s">
        <v>19</v>
      </c>
      <c r="G434" s="162">
        <v>72600</v>
      </c>
      <c r="H434" s="162">
        <v>0</v>
      </c>
      <c r="I434" s="162">
        <f t="shared" si="417"/>
        <v>72600</v>
      </c>
      <c r="J434" s="163">
        <f>IF(G434&gt;=Datos!$D$14,(Datos!$D$14*Datos!$C$14),IF(G434&lt;=Datos!$D$14,(G434*Datos!$C$14)))</f>
        <v>2083.62</v>
      </c>
      <c r="K434" s="164">
        <v>5514.65</v>
      </c>
      <c r="L434" s="163">
        <f>IF(G434&gt;=Datos!$D$15,(Datos!$D$15*Datos!$C$15),IF(G434&lt;=Datos!$D$15,(G434*Datos!$C$15)))</f>
        <v>2207.04</v>
      </c>
      <c r="M434" s="162">
        <v>1740.46</v>
      </c>
      <c r="N434" s="162">
        <f t="shared" si="418"/>
        <v>11545.77</v>
      </c>
      <c r="O434" s="191">
        <f t="shared" si="419"/>
        <v>61054.229999999996</v>
      </c>
    </row>
    <row r="435" spans="1:16" ht="36.75" customHeight="1" x14ac:dyDescent="0.2">
      <c r="A435" s="225">
        <v>339</v>
      </c>
      <c r="B435" s="99" t="s">
        <v>769</v>
      </c>
      <c r="C435" s="227" t="s">
        <v>285</v>
      </c>
      <c r="D435" s="227" t="s">
        <v>452</v>
      </c>
      <c r="E435" s="228" t="s">
        <v>280</v>
      </c>
      <c r="F435" s="228" t="s">
        <v>19</v>
      </c>
      <c r="G435" s="162">
        <v>35000</v>
      </c>
      <c r="H435" s="162">
        <v>0</v>
      </c>
      <c r="I435" s="162">
        <f t="shared" si="417"/>
        <v>35000</v>
      </c>
      <c r="J435" s="163">
        <f>IF(G435&gt;=Datos!$D$14,(Datos!$D$14*Datos!$C$14),IF(G435&lt;=Datos!$D$14,(G435*Datos!$C$14)))</f>
        <v>1004.5</v>
      </c>
      <c r="K435" s="164" t="str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0</v>
      </c>
      <c r="L435" s="163">
        <f>IF(G435&gt;=Datos!$D$15,(Datos!$D$15*Datos!$C$15),IF(G435&lt;=Datos!$D$15,(G435*Datos!$C$15)))</f>
        <v>1064</v>
      </c>
      <c r="M435" s="162">
        <v>1740.46</v>
      </c>
      <c r="N435" s="162">
        <f t="shared" ref="N435:N438" si="420">SUM(J435:M435)</f>
        <v>3808.96</v>
      </c>
      <c r="O435" s="191">
        <f t="shared" ref="O435:O438" si="421">+G435-N435</f>
        <v>31191.040000000001</v>
      </c>
    </row>
    <row r="436" spans="1:16" ht="36.75" customHeight="1" x14ac:dyDescent="0.2">
      <c r="A436" s="225">
        <v>340</v>
      </c>
      <c r="B436" s="227" t="s">
        <v>137</v>
      </c>
      <c r="C436" s="227" t="s">
        <v>285</v>
      </c>
      <c r="D436" s="99" t="s">
        <v>452</v>
      </c>
      <c r="E436" s="228" t="s">
        <v>280</v>
      </c>
      <c r="F436" s="228" t="s">
        <v>19</v>
      </c>
      <c r="G436" s="162">
        <v>45000</v>
      </c>
      <c r="H436" s="162">
        <v>0</v>
      </c>
      <c r="I436" s="162">
        <f t="shared" si="417"/>
        <v>45000</v>
      </c>
      <c r="J436" s="163">
        <f>IF(G436&gt;=Datos!$D$14,(Datos!$D$14*Datos!$C$14),IF(G436&lt;=Datos!$D$14,(G436*Datos!$C$14)))</f>
        <v>1291.5</v>
      </c>
      <c r="K436" s="164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1148.3234999999997</v>
      </c>
      <c r="L436" s="163">
        <f>IF(G436&gt;=Datos!$D$15,(Datos!$D$15*Datos!$C$15),IF(G436&lt;=Datos!$D$15,(G436*Datos!$C$15)))</f>
        <v>1368</v>
      </c>
      <c r="M436" s="162">
        <v>25</v>
      </c>
      <c r="N436" s="162">
        <f t="shared" si="420"/>
        <v>3832.8234999999995</v>
      </c>
      <c r="O436" s="191">
        <f t="shared" si="421"/>
        <v>41167.176500000001</v>
      </c>
    </row>
    <row r="437" spans="1:16" ht="36.75" customHeight="1" x14ac:dyDescent="0.2">
      <c r="A437" s="225">
        <v>341</v>
      </c>
      <c r="B437" s="227" t="s">
        <v>225</v>
      </c>
      <c r="C437" s="227" t="s">
        <v>285</v>
      </c>
      <c r="D437" s="227" t="s">
        <v>608</v>
      </c>
      <c r="E437" s="228" t="s">
        <v>280</v>
      </c>
      <c r="F437" s="228" t="s">
        <v>19</v>
      </c>
      <c r="G437" s="162">
        <v>78650</v>
      </c>
      <c r="H437" s="162">
        <v>0</v>
      </c>
      <c r="I437" s="162">
        <f t="shared" si="417"/>
        <v>78650</v>
      </c>
      <c r="J437" s="163">
        <f>IF(G437&gt;=Datos!$D$14,(Datos!$D$14*Datos!$C$14),IF(G437&lt;=Datos!$D$14,(G437*Datos!$C$14)))</f>
        <v>2257.2550000000001</v>
      </c>
      <c r="K437" s="164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7083.3069166666646</v>
      </c>
      <c r="L437" s="163">
        <f>IF(G437&gt;=Datos!$D$15,(Datos!$D$15*Datos!$C$15),IF(G437&lt;=Datos!$D$15,(G437*Datos!$C$15)))</f>
        <v>2390.96</v>
      </c>
      <c r="M437" s="162">
        <v>25</v>
      </c>
      <c r="N437" s="162">
        <f t="shared" si="420"/>
        <v>11756.521916666665</v>
      </c>
      <c r="O437" s="191">
        <f t="shared" si="421"/>
        <v>66893.478083333335</v>
      </c>
    </row>
    <row r="438" spans="1:16" ht="36.75" customHeight="1" x14ac:dyDescent="0.2">
      <c r="A438" s="225">
        <v>342</v>
      </c>
      <c r="B438" s="226" t="s">
        <v>129</v>
      </c>
      <c r="C438" s="227" t="s">
        <v>285</v>
      </c>
      <c r="D438" s="99" t="s">
        <v>288</v>
      </c>
      <c r="E438" s="228" t="s">
        <v>280</v>
      </c>
      <c r="F438" s="228" t="s">
        <v>19</v>
      </c>
      <c r="G438" s="138">
        <v>81756.679999999993</v>
      </c>
      <c r="H438" s="162">
        <v>0</v>
      </c>
      <c r="I438" s="162">
        <f t="shared" si="417"/>
        <v>81756.679999999993</v>
      </c>
      <c r="J438" s="163">
        <f>IF(G438&gt;=Datos!$D$14,(Datos!$D$14*Datos!$C$14),IF(G438&lt;=Datos!$D$14,(G438*Datos!$C$14)))</f>
        <v>2346.4167159999997</v>
      </c>
      <c r="K438" s="164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7814.0757196666636</v>
      </c>
      <c r="L438" s="163">
        <f>IF(G438&gt;=Datos!$D$15,(Datos!$D$15*Datos!$C$15),IF(G438&lt;=Datos!$D$15,(G438*Datos!$C$15)))</f>
        <v>2485.4030719999996</v>
      </c>
      <c r="M438" s="162">
        <v>25</v>
      </c>
      <c r="N438" s="162">
        <f t="shared" si="420"/>
        <v>12670.895507666663</v>
      </c>
      <c r="O438" s="191">
        <f t="shared" si="421"/>
        <v>69085.784492333332</v>
      </c>
      <c r="P438" s="13"/>
    </row>
    <row r="439" spans="1:16" ht="36.75" customHeight="1" x14ac:dyDescent="0.2">
      <c r="A439" s="225">
        <v>343</v>
      </c>
      <c r="B439" s="227" t="s">
        <v>775</v>
      </c>
      <c r="C439" s="227" t="s">
        <v>285</v>
      </c>
      <c r="D439" s="227" t="s">
        <v>607</v>
      </c>
      <c r="E439" s="228" t="s">
        <v>280</v>
      </c>
      <c r="F439" s="228" t="s">
        <v>19</v>
      </c>
      <c r="G439" s="162">
        <v>60000</v>
      </c>
      <c r="H439" s="162">
        <v>0</v>
      </c>
      <c r="I439" s="162">
        <f t="shared" si="417"/>
        <v>60000</v>
      </c>
      <c r="J439" s="163">
        <f>IF(G439&gt;=Datos!$D$14,(Datos!$D$14*Datos!$C$14),IF(G439&lt;=Datos!$D$14,(G439*Datos!$C$14)))</f>
        <v>1722</v>
      </c>
      <c r="K439" s="164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3486.6756666666661</v>
      </c>
      <c r="L439" s="163">
        <f>IF(G439&gt;=Datos!$D$15,(Datos!$D$15*Datos!$C$15),IF(G439&lt;=Datos!$D$15,(G439*Datos!$C$15)))</f>
        <v>1824</v>
      </c>
      <c r="M439" s="162">
        <v>25</v>
      </c>
      <c r="N439" s="162">
        <f t="shared" si="418"/>
        <v>7057.6756666666661</v>
      </c>
      <c r="O439" s="191">
        <f t="shared" ref="O439:O454" si="422">+G439-N439</f>
        <v>52942.324333333338</v>
      </c>
    </row>
    <row r="440" spans="1:16" ht="36.75" customHeight="1" x14ac:dyDescent="0.2">
      <c r="A440" s="225">
        <v>344</v>
      </c>
      <c r="B440" s="227" t="s">
        <v>108</v>
      </c>
      <c r="C440" s="227" t="s">
        <v>285</v>
      </c>
      <c r="D440" s="99" t="s">
        <v>622</v>
      </c>
      <c r="E440" s="228" t="s">
        <v>280</v>
      </c>
      <c r="F440" s="228" t="s">
        <v>19</v>
      </c>
      <c r="G440" s="162">
        <v>78650</v>
      </c>
      <c r="H440" s="162">
        <v>0</v>
      </c>
      <c r="I440" s="162">
        <f t="shared" si="417"/>
        <v>78650</v>
      </c>
      <c r="J440" s="163">
        <f>IF(G440&gt;=Datos!$D$14,(Datos!$D$14*Datos!$C$14),IF(G440&lt;=Datos!$D$14,(G440*Datos!$C$14)))</f>
        <v>2257.2550000000001</v>
      </c>
      <c r="K440" s="164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7083.3069166666646</v>
      </c>
      <c r="L440" s="163">
        <f>IF(G440&gt;=Datos!$D$15,(Datos!$D$15*Datos!$C$15),IF(G440&lt;=Datos!$D$15,(G440*Datos!$C$15)))</f>
        <v>2390.96</v>
      </c>
      <c r="M440" s="162">
        <v>25</v>
      </c>
      <c r="N440" s="162">
        <f t="shared" ref="N440:N445" si="423">SUM(J440:M440)</f>
        <v>11756.521916666665</v>
      </c>
      <c r="O440" s="191">
        <f t="shared" si="422"/>
        <v>66893.478083333335</v>
      </c>
    </row>
    <row r="441" spans="1:16" ht="36.75" customHeight="1" x14ac:dyDescent="0.2">
      <c r="A441" s="225">
        <v>345</v>
      </c>
      <c r="B441" s="226" t="s">
        <v>770</v>
      </c>
      <c r="C441" s="227" t="s">
        <v>285</v>
      </c>
      <c r="D441" s="137" t="s">
        <v>452</v>
      </c>
      <c r="E441" s="228" t="s">
        <v>280</v>
      </c>
      <c r="F441" s="228" t="s">
        <v>19</v>
      </c>
      <c r="G441" s="162">
        <v>35000</v>
      </c>
      <c r="H441" s="162">
        <v>0</v>
      </c>
      <c r="I441" s="162">
        <f t="shared" si="417"/>
        <v>35000</v>
      </c>
      <c r="J441" s="163">
        <f>IF(G441&gt;=Datos!$D$14,(Datos!$D$14*Datos!$C$14),IF(G441&lt;=Datos!$D$14,(G441*Datos!$C$14)))</f>
        <v>1004.5</v>
      </c>
      <c r="K441" s="164" t="str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0</v>
      </c>
      <c r="L441" s="163">
        <f>IF(G441&gt;=Datos!$D$15,(Datos!$D$15*Datos!$C$15),IF(G441&lt;=Datos!$D$15,(G441*Datos!$C$15)))</f>
        <v>1064</v>
      </c>
      <c r="M441" s="162">
        <v>25</v>
      </c>
      <c r="N441" s="162">
        <f t="shared" si="423"/>
        <v>2093.5</v>
      </c>
      <c r="O441" s="191">
        <f t="shared" si="422"/>
        <v>32906.5</v>
      </c>
    </row>
    <row r="442" spans="1:16" ht="36.75" customHeight="1" x14ac:dyDescent="0.2">
      <c r="A442" s="225">
        <v>346</v>
      </c>
      <c r="B442" s="226" t="s">
        <v>229</v>
      </c>
      <c r="C442" s="227" t="s">
        <v>285</v>
      </c>
      <c r="D442" s="99" t="s">
        <v>710</v>
      </c>
      <c r="E442" s="228" t="s">
        <v>280</v>
      </c>
      <c r="F442" s="228" t="s">
        <v>19</v>
      </c>
      <c r="G442" s="138">
        <v>78650</v>
      </c>
      <c r="H442" s="162">
        <v>0</v>
      </c>
      <c r="I442" s="162">
        <f t="shared" si="417"/>
        <v>78650</v>
      </c>
      <c r="J442" s="163">
        <f>IF(G442&gt;=Datos!$D$14,(Datos!$D$14*Datos!$C$14),IF(G442&lt;=Datos!$D$14,(G442*Datos!$C$14)))</f>
        <v>2257.2550000000001</v>
      </c>
      <c r="K442" s="164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7083.3069166666646</v>
      </c>
      <c r="L442" s="163">
        <f>IF(G442&gt;=Datos!$D$15,(Datos!$D$15*Datos!$C$15),IF(G442&lt;=Datos!$D$15,(G442*Datos!$C$15)))</f>
        <v>2390.96</v>
      </c>
      <c r="M442" s="162">
        <v>25</v>
      </c>
      <c r="N442" s="162">
        <f t="shared" si="423"/>
        <v>11756.521916666665</v>
      </c>
      <c r="O442" s="191">
        <f t="shared" si="422"/>
        <v>66893.478083333335</v>
      </c>
    </row>
    <row r="443" spans="1:16" ht="36.75" customHeight="1" x14ac:dyDescent="0.2">
      <c r="A443" s="225">
        <v>347</v>
      </c>
      <c r="B443" s="227" t="s">
        <v>277</v>
      </c>
      <c r="C443" s="227" t="s">
        <v>285</v>
      </c>
      <c r="D443" s="99" t="s">
        <v>607</v>
      </c>
      <c r="E443" s="228" t="s">
        <v>280</v>
      </c>
      <c r="F443" s="228" t="s">
        <v>19</v>
      </c>
      <c r="G443" s="162">
        <v>72600</v>
      </c>
      <c r="H443" s="162">
        <v>0</v>
      </c>
      <c r="I443" s="162">
        <f t="shared" si="417"/>
        <v>72600</v>
      </c>
      <c r="J443" s="163">
        <f>IF(G443&gt;=Datos!$D$14,(Datos!$D$14*Datos!$C$14),IF(G443&lt;=Datos!$D$14,(G443*Datos!$C$14)))</f>
        <v>2083.62</v>
      </c>
      <c r="K443" s="164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5857.743666666669</v>
      </c>
      <c r="L443" s="163">
        <f>IF(G443&gt;=Datos!$D$15,(Datos!$D$15*Datos!$C$15),IF(G443&lt;=Datos!$D$15,(G443*Datos!$C$15)))</f>
        <v>2207.04</v>
      </c>
      <c r="M443" s="162">
        <v>25</v>
      </c>
      <c r="N443" s="162">
        <f t="shared" si="423"/>
        <v>10173.403666666669</v>
      </c>
      <c r="O443" s="191">
        <f t="shared" si="422"/>
        <v>62426.596333333335</v>
      </c>
    </row>
    <row r="444" spans="1:16" ht="36.75" customHeight="1" x14ac:dyDescent="0.2">
      <c r="A444" s="225">
        <v>348</v>
      </c>
      <c r="B444" s="227" t="s">
        <v>52</v>
      </c>
      <c r="C444" s="227" t="s">
        <v>285</v>
      </c>
      <c r="D444" s="99" t="s">
        <v>452</v>
      </c>
      <c r="E444" s="228" t="s">
        <v>280</v>
      </c>
      <c r="F444" s="228" t="s">
        <v>19</v>
      </c>
      <c r="G444" s="162">
        <v>35000</v>
      </c>
      <c r="H444" s="162">
        <v>0</v>
      </c>
      <c r="I444" s="162">
        <f t="shared" si="417"/>
        <v>35000</v>
      </c>
      <c r="J444" s="163">
        <f>IF(G444&gt;=Datos!$D$14,(Datos!$D$14*Datos!$C$14),IF(G444&lt;=Datos!$D$14,(G444*Datos!$C$14)))</f>
        <v>1004.5</v>
      </c>
      <c r="K444" s="164" t="str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0</v>
      </c>
      <c r="L444" s="163">
        <f>IF(G444&gt;=Datos!$D$15,(Datos!$D$15*Datos!$C$15),IF(G444&lt;=Datos!$D$15,(G444*Datos!$C$15)))</f>
        <v>1064</v>
      </c>
      <c r="M444" s="162">
        <v>25</v>
      </c>
      <c r="N444" s="162">
        <f t="shared" si="423"/>
        <v>2093.5</v>
      </c>
      <c r="O444" s="191">
        <f t="shared" si="422"/>
        <v>32906.5</v>
      </c>
    </row>
    <row r="445" spans="1:16" ht="36.75" customHeight="1" x14ac:dyDescent="0.2">
      <c r="A445" s="225">
        <v>349</v>
      </c>
      <c r="B445" s="227" t="s">
        <v>771</v>
      </c>
      <c r="C445" s="227" t="s">
        <v>285</v>
      </c>
      <c r="D445" s="99" t="s">
        <v>623</v>
      </c>
      <c r="E445" s="228" t="s">
        <v>280</v>
      </c>
      <c r="F445" s="228" t="s">
        <v>281</v>
      </c>
      <c r="G445" s="162">
        <v>60000</v>
      </c>
      <c r="H445" s="162">
        <v>0</v>
      </c>
      <c r="I445" s="162">
        <f t="shared" si="417"/>
        <v>60000</v>
      </c>
      <c r="J445" s="163">
        <f>IF(G445&gt;=Datos!$D$14,(Datos!$D$14*Datos!$C$14),IF(G445&lt;=Datos!$D$14,(G445*Datos!$C$14)))</f>
        <v>1722</v>
      </c>
      <c r="K445" s="164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3486.6756666666661</v>
      </c>
      <c r="L445" s="163">
        <f>IF(G445&gt;=Datos!$D$15,(Datos!$D$15*Datos!$C$15),IF(G445&lt;=Datos!$D$15,(G445*Datos!$C$15)))</f>
        <v>1824</v>
      </c>
      <c r="M445" s="162">
        <v>25</v>
      </c>
      <c r="N445" s="162">
        <f t="shared" si="423"/>
        <v>7057.6756666666661</v>
      </c>
      <c r="O445" s="191">
        <f t="shared" si="422"/>
        <v>52942.324333333338</v>
      </c>
    </row>
    <row r="446" spans="1:16" ht="36.75" customHeight="1" x14ac:dyDescent="0.2">
      <c r="A446" s="225">
        <v>350</v>
      </c>
      <c r="B446" s="227" t="s">
        <v>194</v>
      </c>
      <c r="C446" s="227" t="s">
        <v>285</v>
      </c>
      <c r="D446" s="227" t="s">
        <v>607</v>
      </c>
      <c r="E446" s="228" t="s">
        <v>280</v>
      </c>
      <c r="F446" s="228" t="s">
        <v>281</v>
      </c>
      <c r="G446" s="162">
        <v>78650</v>
      </c>
      <c r="H446" s="162">
        <v>0</v>
      </c>
      <c r="I446" s="162">
        <f t="shared" si="417"/>
        <v>78650</v>
      </c>
      <c r="J446" s="163">
        <f>IF(G446&gt;=Datos!$D$14,(Datos!$D$14*Datos!$C$14),IF(G446&lt;=Datos!$D$14,(G446*Datos!$C$14)))</f>
        <v>2257.2550000000001</v>
      </c>
      <c r="K446" s="164">
        <v>6310.05</v>
      </c>
      <c r="L446" s="163">
        <f>IF(G446&gt;=Datos!$D$15,(Datos!$D$15*Datos!$C$15),IF(G446&lt;=Datos!$D$15,(G446*Datos!$C$15)))</f>
        <v>2390.96</v>
      </c>
      <c r="M446" s="162">
        <v>3455.92</v>
      </c>
      <c r="N446" s="162">
        <f t="shared" si="418"/>
        <v>14414.184999999999</v>
      </c>
      <c r="O446" s="191">
        <f t="shared" si="422"/>
        <v>64235.815000000002</v>
      </c>
    </row>
    <row r="447" spans="1:16" ht="36.75" customHeight="1" x14ac:dyDescent="0.2">
      <c r="A447" s="225">
        <v>351</v>
      </c>
      <c r="B447" s="227" t="s">
        <v>47</v>
      </c>
      <c r="C447" s="227" t="s">
        <v>285</v>
      </c>
      <c r="D447" s="99" t="s">
        <v>452</v>
      </c>
      <c r="E447" s="228" t="s">
        <v>280</v>
      </c>
      <c r="F447" s="228" t="s">
        <v>281</v>
      </c>
      <c r="G447" s="162">
        <v>35000</v>
      </c>
      <c r="H447" s="162">
        <v>0</v>
      </c>
      <c r="I447" s="162">
        <f t="shared" si="417"/>
        <v>35000</v>
      </c>
      <c r="J447" s="163">
        <f>IF(G447&gt;=Datos!$D$14,(Datos!$D$14*Datos!$C$14),IF(G447&lt;=Datos!$D$14,(G447*Datos!$C$14)))</f>
        <v>1004.5</v>
      </c>
      <c r="K447" s="164" t="str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0</v>
      </c>
      <c r="L447" s="163">
        <f>IF(G447&gt;=Datos!$D$15,(Datos!$D$15*Datos!$C$15),IF(G447&lt;=Datos!$D$15,(G447*Datos!$C$15)))</f>
        <v>1064</v>
      </c>
      <c r="M447" s="162">
        <v>25</v>
      </c>
      <c r="N447" s="162">
        <f t="shared" ref="N447:N449" si="424">SUM(J447:M447)</f>
        <v>2093.5</v>
      </c>
      <c r="O447" s="191">
        <f t="shared" si="422"/>
        <v>32906.5</v>
      </c>
    </row>
    <row r="448" spans="1:16" ht="36.75" customHeight="1" x14ac:dyDescent="0.2">
      <c r="A448" s="225">
        <v>352</v>
      </c>
      <c r="B448" s="227" t="s">
        <v>772</v>
      </c>
      <c r="C448" s="227" t="s">
        <v>285</v>
      </c>
      <c r="D448" s="99" t="s">
        <v>607</v>
      </c>
      <c r="E448" s="228" t="s">
        <v>280</v>
      </c>
      <c r="F448" s="228" t="s">
        <v>19</v>
      </c>
      <c r="G448" s="162">
        <v>81756.070000000007</v>
      </c>
      <c r="H448" s="162">
        <v>0</v>
      </c>
      <c r="I448" s="162">
        <f t="shared" si="417"/>
        <v>81756.070000000007</v>
      </c>
      <c r="J448" s="163">
        <f>IF(G448&gt;=Datos!$D$14,(Datos!$D$14*Datos!$C$14),IF(G448&lt;=Datos!$D$14,(G448*Datos!$C$14)))</f>
        <v>2346.3992090000002</v>
      </c>
      <c r="K448" s="164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7813.9322324166715</v>
      </c>
      <c r="L448" s="163">
        <f>IF(G448&gt;=Datos!$D$15,(Datos!$D$15*Datos!$C$15),IF(G448&lt;=Datos!$D$15,(G448*Datos!$C$15)))</f>
        <v>2485.384528</v>
      </c>
      <c r="M448" s="162">
        <v>25</v>
      </c>
      <c r="N448" s="162">
        <f t="shared" si="424"/>
        <v>12670.715969416671</v>
      </c>
      <c r="O448" s="191">
        <f t="shared" si="422"/>
        <v>69085.35403058333</v>
      </c>
    </row>
    <row r="449" spans="1:15" ht="36.75" customHeight="1" x14ac:dyDescent="0.2">
      <c r="A449" s="225">
        <v>353</v>
      </c>
      <c r="B449" s="227" t="s">
        <v>407</v>
      </c>
      <c r="C449" s="227" t="s">
        <v>285</v>
      </c>
      <c r="D449" s="99" t="s">
        <v>452</v>
      </c>
      <c r="E449" s="228" t="s">
        <v>280</v>
      </c>
      <c r="F449" s="228" t="s">
        <v>19</v>
      </c>
      <c r="G449" s="162">
        <v>35000</v>
      </c>
      <c r="H449" s="162">
        <v>0</v>
      </c>
      <c r="I449" s="162">
        <f t="shared" si="417"/>
        <v>35000</v>
      </c>
      <c r="J449" s="163">
        <f>IF(G449&gt;=Datos!$D$14,(Datos!$D$14*Datos!$C$14),IF(G449&lt;=Datos!$D$14,(G449*Datos!$C$14)))</f>
        <v>1004.5</v>
      </c>
      <c r="K449" s="164" t="str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0</v>
      </c>
      <c r="L449" s="163">
        <f>IF(G449&gt;=Datos!$D$15,(Datos!$D$15*Datos!$C$15),IF(G449&lt;=Datos!$D$15,(G449*Datos!$C$15)))</f>
        <v>1064</v>
      </c>
      <c r="M449" s="162">
        <v>25</v>
      </c>
      <c r="N449" s="162">
        <f t="shared" si="424"/>
        <v>2093.5</v>
      </c>
      <c r="O449" s="191">
        <f t="shared" si="422"/>
        <v>32906.5</v>
      </c>
    </row>
    <row r="450" spans="1:15" ht="36.75" customHeight="1" x14ac:dyDescent="0.2">
      <c r="A450" s="225">
        <v>354</v>
      </c>
      <c r="B450" s="227" t="s">
        <v>91</v>
      </c>
      <c r="C450" s="227" t="s">
        <v>285</v>
      </c>
      <c r="D450" s="99" t="s">
        <v>870</v>
      </c>
      <c r="E450" s="228" t="s">
        <v>280</v>
      </c>
      <c r="F450" s="228" t="s">
        <v>19</v>
      </c>
      <c r="G450" s="162">
        <v>72600</v>
      </c>
      <c r="H450" s="162">
        <v>0</v>
      </c>
      <c r="I450" s="162">
        <f t="shared" si="417"/>
        <v>72600</v>
      </c>
      <c r="J450" s="163">
        <f>IF(G450&gt;=Datos!$D$14,(Datos!$D$14*Datos!$C$14),IF(G450&lt;=Datos!$D$14,(G450*Datos!$C$14)))</f>
        <v>2083.62</v>
      </c>
      <c r="K450" s="164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5857.743666666669</v>
      </c>
      <c r="L450" s="163">
        <f>IF(G450&gt;=Datos!$D$15,(Datos!$D$15*Datos!$C$15),IF(G450&lt;=Datos!$D$15,(G450*Datos!$C$15)))</f>
        <v>2207.04</v>
      </c>
      <c r="M450" s="162">
        <v>25</v>
      </c>
      <c r="N450" s="162">
        <f t="shared" si="418"/>
        <v>10173.403666666669</v>
      </c>
      <c r="O450" s="191">
        <f t="shared" si="422"/>
        <v>62426.596333333335</v>
      </c>
    </row>
    <row r="451" spans="1:15" ht="36.75" customHeight="1" x14ac:dyDescent="0.2">
      <c r="A451" s="225">
        <v>355</v>
      </c>
      <c r="B451" s="227" t="s">
        <v>545</v>
      </c>
      <c r="C451" s="227" t="s">
        <v>285</v>
      </c>
      <c r="D451" s="99" t="s">
        <v>623</v>
      </c>
      <c r="E451" s="228" t="s">
        <v>280</v>
      </c>
      <c r="F451" s="228" t="s">
        <v>19</v>
      </c>
      <c r="G451" s="162">
        <v>72600</v>
      </c>
      <c r="H451" s="162">
        <v>0</v>
      </c>
      <c r="I451" s="162">
        <f t="shared" si="417"/>
        <v>72600</v>
      </c>
      <c r="J451" s="163">
        <f>IF(G451&gt;=Datos!$D$14,(Datos!$D$14*Datos!$C$14),IF(G451&lt;=Datos!$D$14,(G451*Datos!$C$14)))</f>
        <v>2083.62</v>
      </c>
      <c r="K451" s="164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5857.743666666669</v>
      </c>
      <c r="L451" s="163">
        <f>IF(G451&gt;=Datos!$D$15,(Datos!$D$15*Datos!$C$15),IF(G451&lt;=Datos!$D$15,(G451*Datos!$C$15)))</f>
        <v>2207.04</v>
      </c>
      <c r="M451" s="162">
        <v>25</v>
      </c>
      <c r="N451" s="162">
        <f t="shared" ref="N451:N454" si="425">SUM(J451:M451)</f>
        <v>10173.403666666669</v>
      </c>
      <c r="O451" s="191">
        <f t="shared" si="422"/>
        <v>62426.596333333335</v>
      </c>
    </row>
    <row r="452" spans="1:15" ht="36.75" customHeight="1" x14ac:dyDescent="0.2">
      <c r="A452" s="225">
        <v>356</v>
      </c>
      <c r="B452" s="226" t="s">
        <v>109</v>
      </c>
      <c r="C452" s="227" t="s">
        <v>285</v>
      </c>
      <c r="D452" s="99" t="s">
        <v>623</v>
      </c>
      <c r="E452" s="228" t="s">
        <v>280</v>
      </c>
      <c r="F452" s="228" t="s">
        <v>19</v>
      </c>
      <c r="G452" s="138">
        <v>72600</v>
      </c>
      <c r="H452" s="162">
        <v>0</v>
      </c>
      <c r="I452" s="162">
        <f t="shared" si="417"/>
        <v>72600</v>
      </c>
      <c r="J452" s="163">
        <f>IF(G452&gt;=Datos!$D$14,(Datos!$D$14*Datos!$C$14),IF(G452&lt;=Datos!$D$14,(G452*Datos!$C$14)))</f>
        <v>2083.62</v>
      </c>
      <c r="K452" s="164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5857.743666666669</v>
      </c>
      <c r="L452" s="163">
        <f>IF(G452&gt;=Datos!$D$15,(Datos!$D$15*Datos!$C$15),IF(G452&lt;=Datos!$D$15,(G452*Datos!$C$15)))</f>
        <v>2207.04</v>
      </c>
      <c r="M452" s="162">
        <v>25</v>
      </c>
      <c r="N452" s="162">
        <f t="shared" si="425"/>
        <v>10173.403666666669</v>
      </c>
      <c r="O452" s="191">
        <f t="shared" si="422"/>
        <v>62426.596333333335</v>
      </c>
    </row>
    <row r="453" spans="1:15" ht="36.75" customHeight="1" x14ac:dyDescent="0.2">
      <c r="A453" s="225">
        <v>357</v>
      </c>
      <c r="B453" s="227" t="s">
        <v>69</v>
      </c>
      <c r="C453" s="227" t="s">
        <v>285</v>
      </c>
      <c r="D453" s="99" t="s">
        <v>944</v>
      </c>
      <c r="E453" s="228" t="s">
        <v>280</v>
      </c>
      <c r="F453" s="228" t="s">
        <v>19</v>
      </c>
      <c r="G453" s="162">
        <v>100000</v>
      </c>
      <c r="H453" s="162">
        <v>0</v>
      </c>
      <c r="I453" s="162">
        <f t="shared" si="417"/>
        <v>100000</v>
      </c>
      <c r="J453" s="163">
        <f>IF(G453&gt;=Datos!$D$14,(Datos!$D$14*Datos!$C$14),IF(G453&lt;=Datos!$D$14,(G453*Datos!$C$14)))</f>
        <v>2870</v>
      </c>
      <c r="K453" s="164">
        <v>11676.5</v>
      </c>
      <c r="L453" s="163">
        <f>IF(G453&gt;=Datos!$D$15,(Datos!$D$15*Datos!$C$15),IF(G453&lt;=Datos!$D$15,(G453*Datos!$C$15)))</f>
        <v>3040</v>
      </c>
      <c r="M453" s="162">
        <v>1740.46</v>
      </c>
      <c r="N453" s="162">
        <f t="shared" si="425"/>
        <v>19326.96</v>
      </c>
      <c r="O453" s="191">
        <f t="shared" si="422"/>
        <v>80673.040000000008</v>
      </c>
    </row>
    <row r="454" spans="1:15" ht="36.75" customHeight="1" x14ac:dyDescent="0.2">
      <c r="A454" s="225">
        <v>358</v>
      </c>
      <c r="B454" s="227" t="s">
        <v>773</v>
      </c>
      <c r="C454" s="227" t="s">
        <v>285</v>
      </c>
      <c r="D454" s="99" t="s">
        <v>608</v>
      </c>
      <c r="E454" s="228" t="s">
        <v>280</v>
      </c>
      <c r="F454" s="228" t="s">
        <v>19</v>
      </c>
      <c r="G454" s="162">
        <v>81756.679999999993</v>
      </c>
      <c r="H454" s="162">
        <v>0</v>
      </c>
      <c r="I454" s="162">
        <f t="shared" si="417"/>
        <v>81756.679999999993</v>
      </c>
      <c r="J454" s="163">
        <f>IF(G454&gt;=Datos!$D$14,(Datos!$D$14*Datos!$C$14),IF(G454&lt;=Datos!$D$14,(G454*Datos!$C$14)))</f>
        <v>2346.4167159999997</v>
      </c>
      <c r="K454" s="164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7814.0757196666636</v>
      </c>
      <c r="L454" s="163">
        <f>IF(G454&gt;=Datos!$D$15,(Datos!$D$15*Datos!$C$15),IF(G454&lt;=Datos!$D$15,(G454*Datos!$C$15)))</f>
        <v>2485.4030719999996</v>
      </c>
      <c r="M454" s="162">
        <v>25</v>
      </c>
      <c r="N454" s="162">
        <f t="shared" si="425"/>
        <v>12670.895507666663</v>
      </c>
      <c r="O454" s="191">
        <f t="shared" si="422"/>
        <v>69085.784492333332</v>
      </c>
    </row>
    <row r="455" spans="1:15" ht="36.75" customHeight="1" x14ac:dyDescent="0.2">
      <c r="A455" s="225">
        <v>359</v>
      </c>
      <c r="B455" s="227" t="s">
        <v>106</v>
      </c>
      <c r="C455" s="227" t="s">
        <v>285</v>
      </c>
      <c r="D455" s="99" t="s">
        <v>710</v>
      </c>
      <c r="E455" s="228" t="s">
        <v>280</v>
      </c>
      <c r="F455" s="228" t="s">
        <v>19</v>
      </c>
      <c r="G455" s="162">
        <v>78650</v>
      </c>
      <c r="H455" s="162">
        <v>0</v>
      </c>
      <c r="I455" s="162">
        <f t="shared" si="417"/>
        <v>78650</v>
      </c>
      <c r="J455" s="163">
        <f>IF(G455&gt;=Datos!$D$14,(Datos!$D$14*Datos!$C$14),IF(G455&lt;=Datos!$D$14,(G455*Datos!$C$14)))</f>
        <v>2257.2550000000001</v>
      </c>
      <c r="K455" s="164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7083.3069166666646</v>
      </c>
      <c r="L455" s="163">
        <f>IF(G455&gt;=Datos!$D$15,(Datos!$D$15*Datos!$C$15),IF(G455&lt;=Datos!$D$15,(G455*Datos!$C$15)))</f>
        <v>2390.96</v>
      </c>
      <c r="M455" s="162">
        <v>25</v>
      </c>
      <c r="N455" s="162">
        <f t="shared" si="418"/>
        <v>11756.521916666665</v>
      </c>
      <c r="O455" s="191">
        <f t="shared" si="419"/>
        <v>66893.478083333335</v>
      </c>
    </row>
    <row r="456" spans="1:15" ht="36.75" customHeight="1" x14ac:dyDescent="0.2">
      <c r="A456" s="225">
        <v>360</v>
      </c>
      <c r="B456" s="226" t="s">
        <v>95</v>
      </c>
      <c r="C456" s="227" t="s">
        <v>285</v>
      </c>
      <c r="D456" s="99" t="s">
        <v>622</v>
      </c>
      <c r="E456" s="228" t="s">
        <v>280</v>
      </c>
      <c r="F456" s="228" t="s">
        <v>19</v>
      </c>
      <c r="G456" s="162">
        <v>78650</v>
      </c>
      <c r="H456" s="162">
        <v>0</v>
      </c>
      <c r="I456" s="162">
        <f t="shared" si="417"/>
        <v>78650</v>
      </c>
      <c r="J456" s="163">
        <f>IF(G456&gt;=Datos!$D$14,(Datos!$D$14*Datos!$C$14),IF(G456&lt;=Datos!$D$14,(G456*Datos!$C$14)))</f>
        <v>2257.2550000000001</v>
      </c>
      <c r="K456" s="164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7083.3069166666646</v>
      </c>
      <c r="L456" s="163">
        <f>IF(G456&gt;=Datos!$D$15,(Datos!$D$15*Datos!$C$15),IF(G456&lt;=Datos!$D$15,(G456*Datos!$C$15)))</f>
        <v>2390.96</v>
      </c>
      <c r="M456" s="162">
        <v>25</v>
      </c>
      <c r="N456" s="162">
        <f t="shared" si="418"/>
        <v>11756.521916666665</v>
      </c>
      <c r="O456" s="191">
        <f t="shared" si="419"/>
        <v>66893.478083333335</v>
      </c>
    </row>
    <row r="457" spans="1:15" ht="36.75" customHeight="1" x14ac:dyDescent="0.2">
      <c r="A457" s="225">
        <v>361</v>
      </c>
      <c r="B457" s="226" t="s">
        <v>63</v>
      </c>
      <c r="C457" s="227" t="s">
        <v>285</v>
      </c>
      <c r="D457" s="99" t="s">
        <v>607</v>
      </c>
      <c r="E457" s="228" t="s">
        <v>280</v>
      </c>
      <c r="F457" s="228" t="s">
        <v>19</v>
      </c>
      <c r="G457" s="138">
        <v>78650</v>
      </c>
      <c r="H457" s="162">
        <v>0</v>
      </c>
      <c r="I457" s="162">
        <f t="shared" si="417"/>
        <v>78650</v>
      </c>
      <c r="J457" s="163">
        <f>IF(G457&gt;=Datos!$D$14,(Datos!$D$14*Datos!$C$14),IF(G457&lt;=Datos!$D$14,(G457*Datos!$C$14)))</f>
        <v>2257.2550000000001</v>
      </c>
      <c r="K457" s="164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7083.3069166666646</v>
      </c>
      <c r="L457" s="163">
        <f>IF(G457&gt;=Datos!$D$15,(Datos!$D$15*Datos!$C$15),IF(G457&lt;=Datos!$D$15,(G457*Datos!$C$15)))</f>
        <v>2390.96</v>
      </c>
      <c r="M457" s="162">
        <v>25</v>
      </c>
      <c r="N457" s="162">
        <f t="shared" si="418"/>
        <v>11756.521916666665</v>
      </c>
      <c r="O457" s="191">
        <f t="shared" ref="O457:O459" si="426">+G457-N457</f>
        <v>66893.478083333335</v>
      </c>
    </row>
    <row r="458" spans="1:15" ht="36.75" customHeight="1" x14ac:dyDescent="0.2">
      <c r="A458" s="225">
        <v>362</v>
      </c>
      <c r="B458" s="227" t="s">
        <v>112</v>
      </c>
      <c r="C458" s="227" t="s">
        <v>285</v>
      </c>
      <c r="D458" s="99" t="s">
        <v>622</v>
      </c>
      <c r="E458" s="228" t="s">
        <v>280</v>
      </c>
      <c r="F458" s="228" t="s">
        <v>281</v>
      </c>
      <c r="G458" s="162">
        <f>42350+25000</f>
        <v>67350</v>
      </c>
      <c r="H458" s="162">
        <v>0</v>
      </c>
      <c r="I458" s="162">
        <f t="shared" si="417"/>
        <v>67350</v>
      </c>
      <c r="J458" s="163">
        <f>IF(G458&gt;=Datos!$D$14,(Datos!$D$14*Datos!$C$14),IF(G458&lt;=Datos!$D$14,(G458*Datos!$C$14)))</f>
        <v>1932.9449999999999</v>
      </c>
      <c r="K458" s="164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4869.7986666666657</v>
      </c>
      <c r="L458" s="163">
        <f>IF(G458&gt;=Datos!$D$15,(Datos!$D$15*Datos!$C$15),IF(G458&lt;=Datos!$D$15,(G458*Datos!$C$15)))</f>
        <v>2047.44</v>
      </c>
      <c r="M458" s="162">
        <v>25</v>
      </c>
      <c r="N458" s="162">
        <f t="shared" si="418"/>
        <v>8875.1836666666659</v>
      </c>
      <c r="O458" s="191">
        <f t="shared" si="426"/>
        <v>58474.816333333336</v>
      </c>
    </row>
    <row r="459" spans="1:15" ht="36.75" customHeight="1" x14ac:dyDescent="0.2">
      <c r="A459" s="225">
        <v>363</v>
      </c>
      <c r="B459" s="227" t="s">
        <v>97</v>
      </c>
      <c r="C459" s="227" t="s">
        <v>285</v>
      </c>
      <c r="D459" s="99" t="s">
        <v>608</v>
      </c>
      <c r="E459" s="228" t="s">
        <v>280</v>
      </c>
      <c r="F459" s="228" t="s">
        <v>19</v>
      </c>
      <c r="G459" s="162">
        <v>72600</v>
      </c>
      <c r="H459" s="162">
        <v>0</v>
      </c>
      <c r="I459" s="162">
        <f t="shared" si="417"/>
        <v>72600</v>
      </c>
      <c r="J459" s="163">
        <f>IF(G459&gt;=Datos!$D$14,(Datos!$D$14*Datos!$C$14),IF(G459&lt;=Datos!$D$14,(G459*Datos!$C$14)))</f>
        <v>2083.62</v>
      </c>
      <c r="K459" s="164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5857.743666666669</v>
      </c>
      <c r="L459" s="163">
        <f>IF(G459&gt;=Datos!$D$15,(Datos!$D$15*Datos!$C$15),IF(G459&lt;=Datos!$D$15,(G459*Datos!$C$15)))</f>
        <v>2207.04</v>
      </c>
      <c r="M459" s="162">
        <v>1525</v>
      </c>
      <c r="N459" s="162">
        <f t="shared" si="418"/>
        <v>11673.403666666669</v>
      </c>
      <c r="O459" s="191">
        <f t="shared" si="426"/>
        <v>60926.596333333335</v>
      </c>
    </row>
    <row r="460" spans="1:15" ht="36.75" customHeight="1" x14ac:dyDescent="0.2">
      <c r="A460" s="225">
        <v>364</v>
      </c>
      <c r="B460" s="227" t="s">
        <v>305</v>
      </c>
      <c r="C460" s="227" t="s">
        <v>285</v>
      </c>
      <c r="D460" s="99" t="s">
        <v>452</v>
      </c>
      <c r="E460" s="228" t="s">
        <v>280</v>
      </c>
      <c r="F460" s="228" t="s">
        <v>19</v>
      </c>
      <c r="G460" s="162">
        <v>35000</v>
      </c>
      <c r="H460" s="162">
        <v>0</v>
      </c>
      <c r="I460" s="162">
        <f t="shared" si="417"/>
        <v>35000</v>
      </c>
      <c r="J460" s="163">
        <f>IF(G460&gt;=Datos!$D$14,(Datos!$D$14*Datos!$C$14),IF(G460&lt;=Datos!$D$14,(G460*Datos!$C$14)))</f>
        <v>1004.5</v>
      </c>
      <c r="K460" s="164" t="str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0</v>
      </c>
      <c r="L460" s="163">
        <f>IF(G460&gt;=Datos!$D$15,(Datos!$D$15*Datos!$C$15),IF(G460&lt;=Datos!$D$15,(G460*Datos!$C$15)))</f>
        <v>1064</v>
      </c>
      <c r="M460" s="162">
        <v>25</v>
      </c>
      <c r="N460" s="162">
        <f t="shared" si="418"/>
        <v>2093.5</v>
      </c>
      <c r="O460" s="191">
        <f t="shared" ref="O460:O470" si="427">+G460-N460</f>
        <v>32906.5</v>
      </c>
    </row>
    <row r="461" spans="1:15" ht="36.75" customHeight="1" x14ac:dyDescent="0.2">
      <c r="A461" s="225">
        <v>365</v>
      </c>
      <c r="B461" s="227" t="s">
        <v>136</v>
      </c>
      <c r="C461" s="227" t="s">
        <v>285</v>
      </c>
      <c r="D461" s="99" t="s">
        <v>870</v>
      </c>
      <c r="E461" s="228" t="s">
        <v>280</v>
      </c>
      <c r="F461" s="228" t="s">
        <v>19</v>
      </c>
      <c r="G461" s="162">
        <v>72600</v>
      </c>
      <c r="H461" s="162">
        <v>0</v>
      </c>
      <c r="I461" s="162">
        <f t="shared" si="417"/>
        <v>72600</v>
      </c>
      <c r="J461" s="163">
        <f>IF(G461&gt;=Datos!$D$14,(Datos!$D$14*Datos!$C$14),IF(G461&lt;=Datos!$D$14,(G461*Datos!$C$14)))</f>
        <v>2083.62</v>
      </c>
      <c r="K461" s="164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5857.743666666669</v>
      </c>
      <c r="L461" s="163">
        <f>IF(G461&gt;=Datos!$D$15,(Datos!$D$15*Datos!$C$15),IF(G461&lt;=Datos!$D$15,(G461*Datos!$C$15)))</f>
        <v>2207.04</v>
      </c>
      <c r="M461" s="162">
        <v>25</v>
      </c>
      <c r="N461" s="162">
        <f t="shared" si="418"/>
        <v>10173.403666666669</v>
      </c>
      <c r="O461" s="191">
        <f t="shared" si="427"/>
        <v>62426.596333333335</v>
      </c>
    </row>
    <row r="462" spans="1:15" ht="36.75" customHeight="1" x14ac:dyDescent="0.2">
      <c r="A462" s="225">
        <v>366</v>
      </c>
      <c r="B462" s="227" t="s">
        <v>87</v>
      </c>
      <c r="C462" s="227" t="s">
        <v>285</v>
      </c>
      <c r="D462" s="99" t="s">
        <v>622</v>
      </c>
      <c r="E462" s="228" t="s">
        <v>280</v>
      </c>
      <c r="F462" s="228" t="s">
        <v>19</v>
      </c>
      <c r="G462" s="162">
        <v>78650</v>
      </c>
      <c r="H462" s="162">
        <v>0</v>
      </c>
      <c r="I462" s="162">
        <f t="shared" si="417"/>
        <v>78650</v>
      </c>
      <c r="J462" s="163">
        <f>IF(G462&gt;=Datos!$D$14,(Datos!$D$14*Datos!$C$14),IF(G462&lt;=Datos!$D$14,(G462*Datos!$C$14)))</f>
        <v>2257.2550000000001</v>
      </c>
      <c r="K462" s="164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7083.3069166666646</v>
      </c>
      <c r="L462" s="163">
        <f>IF(G462&gt;=Datos!$D$15,(Datos!$D$15*Datos!$C$15),IF(G462&lt;=Datos!$D$15,(G462*Datos!$C$15)))</f>
        <v>2390.96</v>
      </c>
      <c r="M462" s="162">
        <v>25</v>
      </c>
      <c r="N462" s="162">
        <f t="shared" si="418"/>
        <v>11756.521916666665</v>
      </c>
      <c r="O462" s="191">
        <f t="shared" si="427"/>
        <v>66893.478083333335</v>
      </c>
    </row>
    <row r="463" spans="1:15" ht="36.75" customHeight="1" x14ac:dyDescent="0.2">
      <c r="A463" s="225">
        <v>367</v>
      </c>
      <c r="B463" s="227" t="s">
        <v>78</v>
      </c>
      <c r="C463" s="227" t="s">
        <v>285</v>
      </c>
      <c r="D463" s="99" t="s">
        <v>1047</v>
      </c>
      <c r="E463" s="228" t="s">
        <v>280</v>
      </c>
      <c r="F463" s="228" t="s">
        <v>19</v>
      </c>
      <c r="G463" s="162">
        <v>100000</v>
      </c>
      <c r="H463" s="162">
        <v>0</v>
      </c>
      <c r="I463" s="162">
        <f t="shared" si="417"/>
        <v>100000</v>
      </c>
      <c r="J463" s="163">
        <f>IF(G463&gt;=Datos!$D$14,(Datos!$D$14*Datos!$C$14),IF(G463&lt;=Datos!$D$14,(G463*Datos!$C$14)))</f>
        <v>2870</v>
      </c>
      <c r="K463" s="164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12105.360666666667</v>
      </c>
      <c r="L463" s="163">
        <f>IF(G463&gt;=Datos!$D$15,(Datos!$D$15*Datos!$C$15),IF(G463&lt;=Datos!$D$15,(G463*Datos!$C$15)))</f>
        <v>3040</v>
      </c>
      <c r="M463" s="162">
        <v>25</v>
      </c>
      <c r="N463" s="162">
        <f t="shared" si="418"/>
        <v>18040.360666666667</v>
      </c>
      <c r="O463" s="191">
        <f t="shared" si="427"/>
        <v>81959.639333333325</v>
      </c>
    </row>
    <row r="464" spans="1:15" ht="36.75" customHeight="1" x14ac:dyDescent="0.2">
      <c r="A464" s="225">
        <v>368</v>
      </c>
      <c r="B464" s="227" t="s">
        <v>207</v>
      </c>
      <c r="C464" s="227" t="s">
        <v>285</v>
      </c>
      <c r="D464" s="99" t="s">
        <v>946</v>
      </c>
      <c r="E464" s="228" t="s">
        <v>280</v>
      </c>
      <c r="F464" s="228" t="s">
        <v>19</v>
      </c>
      <c r="G464" s="162">
        <v>100000</v>
      </c>
      <c r="H464" s="162">
        <v>0</v>
      </c>
      <c r="I464" s="162">
        <f t="shared" si="417"/>
        <v>100000</v>
      </c>
      <c r="J464" s="163">
        <f>IF(G464&gt;=Datos!$D$14,(Datos!$D$14*Datos!$C$14),IF(G464&lt;=Datos!$D$14,(G464*Datos!$C$14)))</f>
        <v>2870</v>
      </c>
      <c r="K464" s="164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12105.360666666667</v>
      </c>
      <c r="L464" s="163">
        <f>IF(G464&gt;=Datos!$D$15,(Datos!$D$15*Datos!$C$15),IF(G464&lt;=Datos!$D$15,(G464*Datos!$C$15)))</f>
        <v>3040</v>
      </c>
      <c r="M464" s="162">
        <v>25</v>
      </c>
      <c r="N464" s="162">
        <f t="shared" si="418"/>
        <v>18040.360666666667</v>
      </c>
      <c r="O464" s="191">
        <f t="shared" si="427"/>
        <v>81959.639333333325</v>
      </c>
    </row>
    <row r="465" spans="1:15" ht="36.75" customHeight="1" x14ac:dyDescent="0.2">
      <c r="A465" s="225">
        <v>369</v>
      </c>
      <c r="B465" s="227" t="s">
        <v>144</v>
      </c>
      <c r="C465" s="227" t="s">
        <v>285</v>
      </c>
      <c r="D465" s="99" t="s">
        <v>943</v>
      </c>
      <c r="E465" s="228" t="s">
        <v>280</v>
      </c>
      <c r="F465" s="228" t="s">
        <v>19</v>
      </c>
      <c r="G465" s="162">
        <v>100000</v>
      </c>
      <c r="H465" s="162">
        <v>0</v>
      </c>
      <c r="I465" s="162">
        <f t="shared" si="417"/>
        <v>100000</v>
      </c>
      <c r="J465" s="163">
        <f>IF(G465&gt;=Datos!$D$14,(Datos!$D$14*Datos!$C$14),IF(G465&lt;=Datos!$D$14,(G465*Datos!$C$14)))</f>
        <v>2870</v>
      </c>
      <c r="K465" s="164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12105.360666666667</v>
      </c>
      <c r="L465" s="163">
        <f>IF(G465&gt;=Datos!$D$15,(Datos!$D$15*Datos!$C$15),IF(G465&lt;=Datos!$D$15,(G465*Datos!$C$15)))</f>
        <v>3040</v>
      </c>
      <c r="M465" s="162">
        <v>25</v>
      </c>
      <c r="N465" s="162">
        <f t="shared" si="418"/>
        <v>18040.360666666667</v>
      </c>
      <c r="O465" s="191">
        <f t="shared" si="427"/>
        <v>81959.639333333325</v>
      </c>
    </row>
    <row r="466" spans="1:15" ht="36.75" customHeight="1" x14ac:dyDescent="0.2">
      <c r="A466" s="225">
        <v>370</v>
      </c>
      <c r="B466" s="227" t="s">
        <v>148</v>
      </c>
      <c r="C466" s="227" t="s">
        <v>285</v>
      </c>
      <c r="D466" s="99" t="s">
        <v>623</v>
      </c>
      <c r="E466" s="228" t="s">
        <v>280</v>
      </c>
      <c r="F466" s="228" t="s">
        <v>281</v>
      </c>
      <c r="G466" s="162">
        <v>78650</v>
      </c>
      <c r="H466" s="162">
        <v>0</v>
      </c>
      <c r="I466" s="162">
        <f t="shared" si="417"/>
        <v>78650</v>
      </c>
      <c r="J466" s="163">
        <f>IF(G466&gt;=Datos!$D$14,(Datos!$D$14*Datos!$C$14),IF(G466&lt;=Datos!$D$14,(G466*Datos!$C$14)))</f>
        <v>2257.2550000000001</v>
      </c>
      <c r="K466" s="164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7083.3069166666646</v>
      </c>
      <c r="L466" s="163">
        <f>IF(G466&gt;=Datos!$D$15,(Datos!$D$15*Datos!$C$15),IF(G466&lt;=Datos!$D$15,(G466*Datos!$C$15)))</f>
        <v>2390.96</v>
      </c>
      <c r="M466" s="162">
        <v>25</v>
      </c>
      <c r="N466" s="162">
        <f t="shared" si="418"/>
        <v>11756.521916666665</v>
      </c>
      <c r="O466" s="191">
        <f t="shared" si="427"/>
        <v>66893.478083333335</v>
      </c>
    </row>
    <row r="467" spans="1:15" ht="36.75" customHeight="1" x14ac:dyDescent="0.2">
      <c r="A467" s="225">
        <v>371</v>
      </c>
      <c r="B467" s="227" t="s">
        <v>72</v>
      </c>
      <c r="C467" s="227" t="s">
        <v>285</v>
      </c>
      <c r="D467" s="99" t="s">
        <v>288</v>
      </c>
      <c r="E467" s="228" t="s">
        <v>280</v>
      </c>
      <c r="F467" s="228" t="s">
        <v>19</v>
      </c>
      <c r="G467" s="162">
        <v>71500</v>
      </c>
      <c r="H467" s="162">
        <v>0</v>
      </c>
      <c r="I467" s="162">
        <f t="shared" si="417"/>
        <v>71500</v>
      </c>
      <c r="J467" s="163">
        <f>IF(G467&gt;=Datos!$D$14,(Datos!$D$14*Datos!$C$14),IF(G467&lt;=Datos!$D$14,(G467*Datos!$C$14)))</f>
        <v>2052.0500000000002</v>
      </c>
      <c r="K467" s="164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5650.745666666664</v>
      </c>
      <c r="L467" s="163">
        <f>IF(G467&gt;=Datos!$D$15,(Datos!$D$15*Datos!$C$15),IF(G467&lt;=Datos!$D$15,(G467*Datos!$C$15)))</f>
        <v>2173.6</v>
      </c>
      <c r="M467" s="162">
        <v>25</v>
      </c>
      <c r="N467" s="162">
        <f t="shared" si="418"/>
        <v>9901.3956666666636</v>
      </c>
      <c r="O467" s="191">
        <f t="shared" si="427"/>
        <v>61598.604333333336</v>
      </c>
    </row>
    <row r="468" spans="1:15" ht="36.75" customHeight="1" x14ac:dyDescent="0.2">
      <c r="A468" s="225">
        <v>372</v>
      </c>
      <c r="B468" s="226" t="s">
        <v>73</v>
      </c>
      <c r="C468" s="227" t="s">
        <v>285</v>
      </c>
      <c r="D468" s="247" t="s">
        <v>710</v>
      </c>
      <c r="E468" s="228" t="s">
        <v>280</v>
      </c>
      <c r="F468" s="228" t="s">
        <v>19</v>
      </c>
      <c r="G468" s="162">
        <v>78650</v>
      </c>
      <c r="H468" s="162">
        <v>0</v>
      </c>
      <c r="I468" s="162">
        <f t="shared" si="417"/>
        <v>78650</v>
      </c>
      <c r="J468" s="163">
        <f>IF(G468&gt;=Datos!$D$14,(Datos!$D$14*Datos!$C$14),IF(G468&lt;=Datos!$D$14,(G468*Datos!$C$14)))</f>
        <v>2257.2550000000001</v>
      </c>
      <c r="K468" s="164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7083.3069166666646</v>
      </c>
      <c r="L468" s="163">
        <f>IF(G468&gt;=Datos!$D$15,(Datos!$D$15*Datos!$C$15),IF(G468&lt;=Datos!$D$15,(G468*Datos!$C$15)))</f>
        <v>2390.96</v>
      </c>
      <c r="M468" s="162">
        <v>25</v>
      </c>
      <c r="N468" s="162">
        <f t="shared" si="418"/>
        <v>11756.521916666665</v>
      </c>
      <c r="O468" s="191">
        <f t="shared" si="427"/>
        <v>66893.478083333335</v>
      </c>
    </row>
    <row r="469" spans="1:15" ht="36.75" customHeight="1" x14ac:dyDescent="0.2">
      <c r="A469" s="225">
        <v>373</v>
      </c>
      <c r="B469" s="227" t="s">
        <v>182</v>
      </c>
      <c r="C469" s="227" t="s">
        <v>285</v>
      </c>
      <c r="D469" s="99" t="s">
        <v>945</v>
      </c>
      <c r="E469" s="228" t="s">
        <v>280</v>
      </c>
      <c r="F469" s="228" t="s">
        <v>19</v>
      </c>
      <c r="G469" s="162">
        <v>80000</v>
      </c>
      <c r="H469" s="162">
        <v>0</v>
      </c>
      <c r="I469" s="162">
        <f t="shared" si="417"/>
        <v>80000</v>
      </c>
      <c r="J469" s="163">
        <f>IF(G469&gt;=Datos!$D$14,(Datos!$D$14*Datos!$C$14),IF(G469&lt;=Datos!$D$14,(G469*Datos!$C$14)))</f>
        <v>2296</v>
      </c>
      <c r="K469" s="164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7400.8606666666674</v>
      </c>
      <c r="L469" s="163">
        <f>IF(G469&gt;=Datos!$D$15,(Datos!$D$15*Datos!$C$15),IF(G469&lt;=Datos!$D$15,(G469*Datos!$C$15)))</f>
        <v>2432</v>
      </c>
      <c r="M469" s="162">
        <v>25</v>
      </c>
      <c r="N469" s="162">
        <f t="shared" si="418"/>
        <v>12153.860666666667</v>
      </c>
      <c r="O469" s="191">
        <f t="shared" si="427"/>
        <v>67846.139333333325</v>
      </c>
    </row>
    <row r="470" spans="1:15" ht="36.75" customHeight="1" x14ac:dyDescent="0.2">
      <c r="A470" s="225">
        <v>374</v>
      </c>
      <c r="B470" s="227" t="s">
        <v>139</v>
      </c>
      <c r="C470" s="227" t="s">
        <v>285</v>
      </c>
      <c r="D470" s="99" t="s">
        <v>1050</v>
      </c>
      <c r="E470" s="228" t="s">
        <v>280</v>
      </c>
      <c r="F470" s="228" t="s">
        <v>19</v>
      </c>
      <c r="G470" s="162">
        <v>80000</v>
      </c>
      <c r="H470" s="162">
        <v>0</v>
      </c>
      <c r="I470" s="162">
        <f t="shared" si="417"/>
        <v>80000</v>
      </c>
      <c r="J470" s="163">
        <f>IF(G470&gt;=Datos!$D$14,(Datos!$D$14*Datos!$C$14),IF(G470&lt;=Datos!$D$14,(G470*Datos!$C$14)))</f>
        <v>2296</v>
      </c>
      <c r="K470" s="164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7400.8606666666674</v>
      </c>
      <c r="L470" s="163">
        <f>IF(G470&gt;=Datos!$D$15,(Datos!$D$15*Datos!$C$15),IF(G470&lt;=Datos!$D$15,(G470*Datos!$C$15)))</f>
        <v>2432</v>
      </c>
      <c r="M470" s="162">
        <v>25</v>
      </c>
      <c r="N470" s="162">
        <f t="shared" si="418"/>
        <v>12153.860666666667</v>
      </c>
      <c r="O470" s="191">
        <f t="shared" si="427"/>
        <v>67846.139333333325</v>
      </c>
    </row>
    <row r="471" spans="1:15" ht="36.75" customHeight="1" x14ac:dyDescent="0.2">
      <c r="A471" s="225">
        <v>375</v>
      </c>
      <c r="B471" s="227" t="s">
        <v>172</v>
      </c>
      <c r="C471" s="227" t="s">
        <v>285</v>
      </c>
      <c r="D471" s="99" t="s">
        <v>870</v>
      </c>
      <c r="E471" s="228" t="s">
        <v>280</v>
      </c>
      <c r="F471" s="228" t="s">
        <v>19</v>
      </c>
      <c r="G471" s="162">
        <v>72600</v>
      </c>
      <c r="H471" s="162">
        <v>0</v>
      </c>
      <c r="I471" s="162">
        <f t="shared" si="417"/>
        <v>72600</v>
      </c>
      <c r="J471" s="163">
        <f>IF(G471&gt;=Datos!$D$14,(Datos!$D$14*Datos!$C$14),IF(G471&lt;=Datos!$D$14,(G471*Datos!$C$14)))</f>
        <v>2083.62</v>
      </c>
      <c r="K471" s="164">
        <v>5514.65</v>
      </c>
      <c r="L471" s="163">
        <f>IF(G471&gt;=Datos!$D$15,(Datos!$D$15*Datos!$C$15),IF(G471&lt;=Datos!$D$15,(G471*Datos!$C$15)))</f>
        <v>2207.04</v>
      </c>
      <c r="M471" s="162">
        <v>1740.46</v>
      </c>
      <c r="N471" s="162">
        <f t="shared" ref="N471" si="428">SUM(J471:M471)</f>
        <v>11545.77</v>
      </c>
      <c r="O471" s="191">
        <f t="shared" ref="O471:O478" si="429">+G471-N471</f>
        <v>61054.229999999996</v>
      </c>
    </row>
    <row r="472" spans="1:15" ht="36.75" customHeight="1" x14ac:dyDescent="0.2">
      <c r="A472" s="225">
        <v>376</v>
      </c>
      <c r="B472" s="99" t="s">
        <v>101</v>
      </c>
      <c r="C472" s="227" t="s">
        <v>285</v>
      </c>
      <c r="D472" s="99" t="s">
        <v>870</v>
      </c>
      <c r="E472" s="228" t="s">
        <v>280</v>
      </c>
      <c r="F472" s="228" t="s">
        <v>19</v>
      </c>
      <c r="G472" s="162">
        <v>81756.679999999993</v>
      </c>
      <c r="H472" s="162">
        <v>0</v>
      </c>
      <c r="I472" s="162">
        <f t="shared" si="417"/>
        <v>81756.679999999993</v>
      </c>
      <c r="J472" s="163">
        <f>IF(G472&gt;=Datos!$D$14,(Datos!$D$14*Datos!$C$14),IF(G472&lt;=Datos!$D$14,(G472*Datos!$C$14)))</f>
        <v>2346.4167159999997</v>
      </c>
      <c r="K472" s="164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7814.0757196666636</v>
      </c>
      <c r="L472" s="163">
        <f>IF(G472&gt;=Datos!$D$15,(Datos!$D$15*Datos!$C$15),IF(G472&lt;=Datos!$D$15,(G472*Datos!$C$15)))</f>
        <v>2485.4030719999996</v>
      </c>
      <c r="M472" s="162">
        <v>25</v>
      </c>
      <c r="N472" s="162">
        <f>SUM(J472:M472)</f>
        <v>12670.895507666663</v>
      </c>
      <c r="O472" s="191">
        <f t="shared" si="429"/>
        <v>69085.784492333332</v>
      </c>
    </row>
    <row r="473" spans="1:15" ht="36.75" customHeight="1" x14ac:dyDescent="0.2">
      <c r="A473" s="225">
        <v>377</v>
      </c>
      <c r="B473" s="227" t="s">
        <v>45</v>
      </c>
      <c r="C473" s="227" t="s">
        <v>285</v>
      </c>
      <c r="D473" s="99" t="s">
        <v>288</v>
      </c>
      <c r="E473" s="228" t="s">
        <v>280</v>
      </c>
      <c r="F473" s="228" t="s">
        <v>19</v>
      </c>
      <c r="G473" s="162">
        <v>78650</v>
      </c>
      <c r="H473" s="162">
        <v>0</v>
      </c>
      <c r="I473" s="162">
        <f t="shared" si="417"/>
        <v>78650</v>
      </c>
      <c r="J473" s="163">
        <f>IF(G473&gt;=Datos!$D$14,(Datos!$D$14*Datos!$C$14),IF(G473&lt;=Datos!$D$14,(G473*Datos!$C$14)))</f>
        <v>2257.2550000000001</v>
      </c>
      <c r="K473" s="164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7083.3069166666646</v>
      </c>
      <c r="L473" s="163">
        <f>IF(G473&gt;=Datos!$D$15,(Datos!$D$15*Datos!$C$15),IF(G473&lt;=Datos!$D$15,(G473*Datos!$C$15)))</f>
        <v>2390.96</v>
      </c>
      <c r="M473" s="162">
        <v>25</v>
      </c>
      <c r="N473" s="162">
        <f t="shared" ref="N473:N478" si="430">SUM(J473:M473)</f>
        <v>11756.521916666665</v>
      </c>
      <c r="O473" s="191">
        <f t="shared" si="429"/>
        <v>66893.478083333335</v>
      </c>
    </row>
    <row r="474" spans="1:15" ht="36.75" customHeight="1" x14ac:dyDescent="0.2">
      <c r="A474" s="225">
        <v>378</v>
      </c>
      <c r="B474" s="227" t="s">
        <v>165</v>
      </c>
      <c r="C474" s="227" t="s">
        <v>285</v>
      </c>
      <c r="D474" s="99" t="s">
        <v>607</v>
      </c>
      <c r="E474" s="228" t="s">
        <v>280</v>
      </c>
      <c r="F474" s="228" t="s">
        <v>19</v>
      </c>
      <c r="G474" s="162">
        <v>78650</v>
      </c>
      <c r="H474" s="162">
        <v>0</v>
      </c>
      <c r="I474" s="162">
        <f t="shared" si="417"/>
        <v>78650</v>
      </c>
      <c r="J474" s="163">
        <f>IF(G474&gt;=Datos!$D$14,(Datos!$D$14*Datos!$C$14),IF(G474&lt;=Datos!$D$14,(G474*Datos!$C$14)))</f>
        <v>2257.2550000000001</v>
      </c>
      <c r="K474" s="164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7083.3069166666646</v>
      </c>
      <c r="L474" s="163">
        <f>IF(G474&gt;=Datos!$D$15,(Datos!$D$15*Datos!$C$15),IF(G474&lt;=Datos!$D$15,(G474*Datos!$C$15)))</f>
        <v>2390.96</v>
      </c>
      <c r="M474" s="162">
        <v>25</v>
      </c>
      <c r="N474" s="162">
        <f t="shared" si="430"/>
        <v>11756.521916666665</v>
      </c>
      <c r="O474" s="191">
        <f t="shared" si="429"/>
        <v>66893.478083333335</v>
      </c>
    </row>
    <row r="475" spans="1:15" ht="36.75" customHeight="1" x14ac:dyDescent="0.2">
      <c r="A475" s="225">
        <v>379</v>
      </c>
      <c r="B475" s="227" t="s">
        <v>99</v>
      </c>
      <c r="C475" s="227" t="s">
        <v>285</v>
      </c>
      <c r="D475" s="99" t="s">
        <v>710</v>
      </c>
      <c r="E475" s="228" t="s">
        <v>280</v>
      </c>
      <c r="F475" s="228" t="s">
        <v>19</v>
      </c>
      <c r="G475" s="162">
        <v>81756.679999999993</v>
      </c>
      <c r="H475" s="162">
        <v>0</v>
      </c>
      <c r="I475" s="162">
        <f t="shared" si="417"/>
        <v>81756.679999999993</v>
      </c>
      <c r="J475" s="163">
        <f>IF(G475&gt;=Datos!$D$14,(Datos!$D$14*Datos!$C$14),IF(G475&lt;=Datos!$D$14,(G475*Datos!$C$14)))</f>
        <v>2346.4167159999997</v>
      </c>
      <c r="K475" s="164">
        <v>7385.22</v>
      </c>
      <c r="L475" s="163">
        <f>IF(G475&gt;=Datos!$D$15,(Datos!$D$15*Datos!$C$15),IF(G475&lt;=Datos!$D$15,(G475*Datos!$C$15)))</f>
        <v>2485.4030719999996</v>
      </c>
      <c r="M475" s="162">
        <v>1740.46</v>
      </c>
      <c r="N475" s="162">
        <f t="shared" si="430"/>
        <v>13957.499788000001</v>
      </c>
      <c r="O475" s="191">
        <f t="shared" si="429"/>
        <v>67799.180211999992</v>
      </c>
    </row>
    <row r="476" spans="1:15" ht="36.75" customHeight="1" x14ac:dyDescent="0.2">
      <c r="A476" s="225">
        <v>380</v>
      </c>
      <c r="B476" s="227" t="s">
        <v>330</v>
      </c>
      <c r="C476" s="227" t="s">
        <v>285</v>
      </c>
      <c r="D476" s="99" t="s">
        <v>622</v>
      </c>
      <c r="E476" s="228" t="s">
        <v>280</v>
      </c>
      <c r="F476" s="228" t="s">
        <v>19</v>
      </c>
      <c r="G476" s="162">
        <f>42350+25000</f>
        <v>67350</v>
      </c>
      <c r="H476" s="162">
        <v>0</v>
      </c>
      <c r="I476" s="162">
        <f t="shared" si="417"/>
        <v>67350</v>
      </c>
      <c r="J476" s="163">
        <f>IF(G476&gt;=Datos!$D$14,(Datos!$D$14*Datos!$C$14),IF(G476&lt;=Datos!$D$14,(G476*Datos!$C$14)))</f>
        <v>1932.9449999999999</v>
      </c>
      <c r="K476" s="164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4869.7986666666657</v>
      </c>
      <c r="L476" s="163">
        <f>IF(G476&gt;=Datos!$D$15,(Datos!$D$15*Datos!$C$15),IF(G476&lt;=Datos!$D$15,(G476*Datos!$C$15)))</f>
        <v>2047.44</v>
      </c>
      <c r="M476" s="162">
        <v>25</v>
      </c>
      <c r="N476" s="162">
        <f t="shared" si="430"/>
        <v>8875.1836666666659</v>
      </c>
      <c r="O476" s="191">
        <f t="shared" si="429"/>
        <v>58474.816333333336</v>
      </c>
    </row>
    <row r="477" spans="1:15" ht="36.75" customHeight="1" x14ac:dyDescent="0.2">
      <c r="A477" s="225">
        <v>381</v>
      </c>
      <c r="B477" s="227" t="s">
        <v>217</v>
      </c>
      <c r="C477" s="227" t="s">
        <v>285</v>
      </c>
      <c r="D477" s="99" t="s">
        <v>608</v>
      </c>
      <c r="E477" s="228" t="s">
        <v>280</v>
      </c>
      <c r="F477" s="228" t="s">
        <v>19</v>
      </c>
      <c r="G477" s="162">
        <v>81756.679999999993</v>
      </c>
      <c r="H477" s="162">
        <v>0</v>
      </c>
      <c r="I477" s="162">
        <f t="shared" si="417"/>
        <v>81756.679999999993</v>
      </c>
      <c r="J477" s="163">
        <f>IF(G477&gt;=Datos!$D$14,(Datos!$D$14*Datos!$C$14),IF(G477&lt;=Datos!$D$14,(G477*Datos!$C$14)))</f>
        <v>2346.4167159999997</v>
      </c>
      <c r="K477" s="164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7814.0757196666636</v>
      </c>
      <c r="L477" s="163">
        <f>IF(G477&gt;=Datos!$D$15,(Datos!$D$15*Datos!$C$15),IF(G477&lt;=Datos!$D$15,(G477*Datos!$C$15)))</f>
        <v>2485.4030719999996</v>
      </c>
      <c r="M477" s="162">
        <v>25</v>
      </c>
      <c r="N477" s="162">
        <f t="shared" si="430"/>
        <v>12670.895507666663</v>
      </c>
      <c r="O477" s="191">
        <f t="shared" si="429"/>
        <v>69085.784492333332</v>
      </c>
    </row>
    <row r="478" spans="1:15" ht="36.75" customHeight="1" x14ac:dyDescent="0.2">
      <c r="A478" s="225">
        <v>382</v>
      </c>
      <c r="B478" s="227" t="s">
        <v>234</v>
      </c>
      <c r="C478" s="227" t="s">
        <v>285</v>
      </c>
      <c r="D478" s="99" t="s">
        <v>622</v>
      </c>
      <c r="E478" s="228" t="s">
        <v>280</v>
      </c>
      <c r="F478" s="228" t="s">
        <v>19</v>
      </c>
      <c r="G478" s="162">
        <v>78650</v>
      </c>
      <c r="H478" s="162">
        <v>0</v>
      </c>
      <c r="I478" s="162">
        <f t="shared" si="417"/>
        <v>78650</v>
      </c>
      <c r="J478" s="163">
        <f>IF(G478&gt;=Datos!$D$14,(Datos!$D$14*Datos!$C$14),IF(G478&lt;=Datos!$D$14,(G478*Datos!$C$14)))</f>
        <v>2257.2550000000001</v>
      </c>
      <c r="K478" s="164">
        <v>6654.45</v>
      </c>
      <c r="L478" s="163">
        <f>IF(G478&gt;=Datos!$D$15,(Datos!$D$15*Datos!$C$15),IF(G478&lt;=Datos!$D$15,(G478*Datos!$C$15)))</f>
        <v>2390.96</v>
      </c>
      <c r="M478" s="162">
        <v>1740.46</v>
      </c>
      <c r="N478" s="162">
        <f t="shared" si="430"/>
        <v>13043.125</v>
      </c>
      <c r="O478" s="191">
        <f t="shared" si="429"/>
        <v>65606.875</v>
      </c>
    </row>
    <row r="479" spans="1:15" ht="36.75" customHeight="1" x14ac:dyDescent="0.2">
      <c r="A479" s="225">
        <v>383</v>
      </c>
      <c r="B479" s="227" t="s">
        <v>329</v>
      </c>
      <c r="C479" s="227" t="s">
        <v>285</v>
      </c>
      <c r="D479" s="99" t="s">
        <v>622</v>
      </c>
      <c r="E479" s="228" t="s">
        <v>280</v>
      </c>
      <c r="F479" s="228" t="s">
        <v>19</v>
      </c>
      <c r="G479" s="162">
        <f>42350+25000</f>
        <v>67350</v>
      </c>
      <c r="H479" s="162">
        <v>0</v>
      </c>
      <c r="I479" s="162">
        <f t="shared" si="417"/>
        <v>67350</v>
      </c>
      <c r="J479" s="163">
        <f>IF(G479&gt;=Datos!$D$14,(Datos!$D$14*Datos!$C$14),IF(G479&lt;=Datos!$D$14,(G479*Datos!$C$14)))</f>
        <v>1932.9449999999999</v>
      </c>
      <c r="K479" s="164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4869.7986666666657</v>
      </c>
      <c r="L479" s="163">
        <f>IF(G479&gt;=Datos!$D$15,(Datos!$D$15*Datos!$C$15),IF(G479&lt;=Datos!$D$15,(G479*Datos!$C$15)))</f>
        <v>2047.44</v>
      </c>
      <c r="M479" s="162">
        <v>25</v>
      </c>
      <c r="N479" s="162">
        <f t="shared" ref="N479:N481" si="431">SUM(J479:M479)</f>
        <v>8875.1836666666659</v>
      </c>
      <c r="O479" s="191">
        <f t="shared" si="419"/>
        <v>58474.816333333336</v>
      </c>
    </row>
    <row r="480" spans="1:15" ht="36.75" customHeight="1" x14ac:dyDescent="0.2">
      <c r="A480" s="225">
        <v>384</v>
      </c>
      <c r="B480" s="227" t="s">
        <v>114</v>
      </c>
      <c r="C480" s="227" t="s">
        <v>285</v>
      </c>
      <c r="D480" s="99" t="s">
        <v>452</v>
      </c>
      <c r="E480" s="228" t="s">
        <v>280</v>
      </c>
      <c r="F480" s="228" t="s">
        <v>281</v>
      </c>
      <c r="G480" s="162">
        <v>35000</v>
      </c>
      <c r="H480" s="162">
        <v>0</v>
      </c>
      <c r="I480" s="162">
        <f t="shared" si="417"/>
        <v>35000</v>
      </c>
      <c r="J480" s="163">
        <f>IF(G480&gt;=Datos!$D$14,(Datos!$D$14*Datos!$C$14),IF(G480&lt;=Datos!$D$14,(G480*Datos!$C$14)))</f>
        <v>1004.5</v>
      </c>
      <c r="K480" s="164" t="str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0</v>
      </c>
      <c r="L480" s="163">
        <f>IF(G480&gt;=Datos!$D$15,(Datos!$D$15*Datos!$C$15),IF(G480&lt;=Datos!$D$15,(G480*Datos!$C$15)))</f>
        <v>1064</v>
      </c>
      <c r="M480" s="162">
        <v>25</v>
      </c>
      <c r="N480" s="162">
        <f t="shared" si="431"/>
        <v>2093.5</v>
      </c>
      <c r="O480" s="191">
        <f t="shared" si="419"/>
        <v>32906.5</v>
      </c>
    </row>
    <row r="481" spans="1:15" ht="36.75" customHeight="1" x14ac:dyDescent="0.2">
      <c r="A481" s="225">
        <v>385</v>
      </c>
      <c r="B481" s="227" t="s">
        <v>774</v>
      </c>
      <c r="C481" s="227" t="s">
        <v>285</v>
      </c>
      <c r="D481" s="99" t="s">
        <v>623</v>
      </c>
      <c r="E481" s="228" t="s">
        <v>280</v>
      </c>
      <c r="F481" s="228" t="s">
        <v>19</v>
      </c>
      <c r="G481" s="162">
        <v>72600</v>
      </c>
      <c r="H481" s="162">
        <v>0</v>
      </c>
      <c r="I481" s="162">
        <f t="shared" si="417"/>
        <v>72600</v>
      </c>
      <c r="J481" s="163">
        <f>IF(G481&gt;=Datos!$D$14,(Datos!$D$14*Datos!$C$14),IF(G481&lt;=Datos!$D$14,(G481*Datos!$C$14)))</f>
        <v>2083.62</v>
      </c>
      <c r="K481" s="164">
        <v>5514.65</v>
      </c>
      <c r="L481" s="163">
        <f>IF(G481&gt;=Datos!$D$15,(Datos!$D$15*Datos!$C$15),IF(G481&lt;=Datos!$D$15,(G481*Datos!$C$15)))</f>
        <v>2207.04</v>
      </c>
      <c r="M481" s="162">
        <v>1740.46</v>
      </c>
      <c r="N481" s="162">
        <f t="shared" si="431"/>
        <v>11545.77</v>
      </c>
      <c r="O481" s="191">
        <f t="shared" si="419"/>
        <v>61054.229999999996</v>
      </c>
    </row>
    <row r="482" spans="1:15" ht="36.75" customHeight="1" x14ac:dyDescent="0.2">
      <c r="A482" s="225">
        <v>386</v>
      </c>
      <c r="B482" s="227" t="s">
        <v>956</v>
      </c>
      <c r="C482" s="227" t="s">
        <v>285</v>
      </c>
      <c r="D482" s="99" t="s">
        <v>608</v>
      </c>
      <c r="E482" s="228" t="s">
        <v>280</v>
      </c>
      <c r="F482" s="228" t="s">
        <v>19</v>
      </c>
      <c r="G482" s="162">
        <v>60000</v>
      </c>
      <c r="H482" s="162">
        <v>0</v>
      </c>
      <c r="I482" s="162">
        <f t="shared" ref="I482:I500" si="432">SUM(G482:H482)</f>
        <v>60000</v>
      </c>
      <c r="J482" s="163">
        <f>IF(G482&gt;=Datos!$D$14,(Datos!$D$14*Datos!$C$14),IF(G482&lt;=Datos!$D$14,(G482*Datos!$C$14)))</f>
        <v>1722</v>
      </c>
      <c r="K482" s="164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3486.6756666666661</v>
      </c>
      <c r="L482" s="163">
        <f>IF(G482&gt;=Datos!$D$15,(Datos!$D$15*Datos!$C$15),IF(G482&lt;=Datos!$D$15,(G482*Datos!$C$15)))</f>
        <v>1824</v>
      </c>
      <c r="M482" s="162">
        <v>25</v>
      </c>
      <c r="N482" s="162">
        <f t="shared" ref="N482:N500" si="433">SUM(J482:M482)</f>
        <v>7057.6756666666661</v>
      </c>
      <c r="O482" s="191">
        <f t="shared" ref="O482:O500" si="434">+G482-N482</f>
        <v>52942.324333333338</v>
      </c>
    </row>
    <row r="483" spans="1:15" ht="36.75" customHeight="1" x14ac:dyDescent="0.2">
      <c r="A483" s="225">
        <v>387</v>
      </c>
      <c r="B483" s="227" t="s">
        <v>957</v>
      </c>
      <c r="C483" s="227" t="s">
        <v>285</v>
      </c>
      <c r="D483" s="99" t="s">
        <v>608</v>
      </c>
      <c r="E483" s="228" t="s">
        <v>280</v>
      </c>
      <c r="F483" s="228" t="s">
        <v>19</v>
      </c>
      <c r="G483" s="162">
        <v>60000</v>
      </c>
      <c r="H483" s="162">
        <v>0</v>
      </c>
      <c r="I483" s="162">
        <f t="shared" si="432"/>
        <v>60000</v>
      </c>
      <c r="J483" s="163">
        <f>IF(G483&gt;=Datos!$D$14,(Datos!$D$14*Datos!$C$14),IF(G483&lt;=Datos!$D$14,(G483*Datos!$C$14)))</f>
        <v>1722</v>
      </c>
      <c r="K483" s="164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3486.6756666666661</v>
      </c>
      <c r="L483" s="163">
        <f>IF(G483&gt;=Datos!$D$15,(Datos!$D$15*Datos!$C$15),IF(G483&lt;=Datos!$D$15,(G483*Datos!$C$15)))</f>
        <v>1824</v>
      </c>
      <c r="M483" s="162">
        <v>25</v>
      </c>
      <c r="N483" s="162">
        <f t="shared" si="433"/>
        <v>7057.6756666666661</v>
      </c>
      <c r="O483" s="191">
        <f t="shared" si="434"/>
        <v>52942.324333333338</v>
      </c>
    </row>
    <row r="484" spans="1:15" ht="36.75" customHeight="1" x14ac:dyDescent="0.2">
      <c r="A484" s="225">
        <v>388</v>
      </c>
      <c r="B484" s="227" t="s">
        <v>958</v>
      </c>
      <c r="C484" s="227" t="s">
        <v>285</v>
      </c>
      <c r="D484" s="99" t="s">
        <v>623</v>
      </c>
      <c r="E484" s="228" t="s">
        <v>280</v>
      </c>
      <c r="F484" s="228" t="s">
        <v>19</v>
      </c>
      <c r="G484" s="162">
        <v>60000</v>
      </c>
      <c r="H484" s="162">
        <v>0</v>
      </c>
      <c r="I484" s="162">
        <f t="shared" si="432"/>
        <v>60000</v>
      </c>
      <c r="J484" s="163">
        <f>IF(G484&gt;=Datos!$D$14,(Datos!$D$14*Datos!$C$14),IF(G484&lt;=Datos!$D$14,(G484*Datos!$C$14)))</f>
        <v>1722</v>
      </c>
      <c r="K484" s="164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3486.6756666666661</v>
      </c>
      <c r="L484" s="163">
        <f>IF(G484&gt;=Datos!$D$15,(Datos!$D$15*Datos!$C$15),IF(G484&lt;=Datos!$D$15,(G484*Datos!$C$15)))</f>
        <v>1824</v>
      </c>
      <c r="M484" s="162">
        <v>25</v>
      </c>
      <c r="N484" s="162">
        <f t="shared" si="433"/>
        <v>7057.6756666666661</v>
      </c>
      <c r="O484" s="191">
        <f t="shared" si="434"/>
        <v>52942.324333333338</v>
      </c>
    </row>
    <row r="485" spans="1:15" ht="36.75" customHeight="1" x14ac:dyDescent="0.2">
      <c r="A485" s="225">
        <v>389</v>
      </c>
      <c r="B485" s="227" t="s">
        <v>1036</v>
      </c>
      <c r="C485" s="227" t="s">
        <v>285</v>
      </c>
      <c r="D485" s="99" t="s">
        <v>623</v>
      </c>
      <c r="E485" s="228" t="s">
        <v>280</v>
      </c>
      <c r="F485" s="228" t="s">
        <v>19</v>
      </c>
      <c r="G485" s="162">
        <v>60000</v>
      </c>
      <c r="H485" s="162">
        <v>0</v>
      </c>
      <c r="I485" s="162">
        <f t="shared" si="432"/>
        <v>60000</v>
      </c>
      <c r="J485" s="163">
        <f>IF(G485&gt;=Datos!$D$14,(Datos!$D$14*Datos!$C$14),IF(G485&lt;=Datos!$D$14,(G485*Datos!$C$14)))</f>
        <v>1722</v>
      </c>
      <c r="K485" s="164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3486.6756666666661</v>
      </c>
      <c r="L485" s="163">
        <f>IF(G485&gt;=Datos!$D$15,(Datos!$D$15*Datos!$C$15),IF(G485&lt;=Datos!$D$15,(G485*Datos!$C$15)))</f>
        <v>1824</v>
      </c>
      <c r="M485" s="162">
        <v>25</v>
      </c>
      <c r="N485" s="162">
        <f t="shared" si="433"/>
        <v>7057.6756666666661</v>
      </c>
      <c r="O485" s="191">
        <f t="shared" si="434"/>
        <v>52942.324333333338</v>
      </c>
    </row>
    <row r="486" spans="1:15" ht="36.75" customHeight="1" x14ac:dyDescent="0.2">
      <c r="A486" s="225">
        <v>390</v>
      </c>
      <c r="B486" s="227" t="s">
        <v>959</v>
      </c>
      <c r="C486" s="227" t="s">
        <v>285</v>
      </c>
      <c r="D486" s="99" t="s">
        <v>607</v>
      </c>
      <c r="E486" s="228" t="s">
        <v>280</v>
      </c>
      <c r="F486" s="228" t="s">
        <v>19</v>
      </c>
      <c r="G486" s="162">
        <v>60000</v>
      </c>
      <c r="H486" s="162">
        <v>0</v>
      </c>
      <c r="I486" s="162">
        <f t="shared" si="432"/>
        <v>60000</v>
      </c>
      <c r="J486" s="163">
        <f>IF(G486&gt;=Datos!$D$14,(Datos!$D$14*Datos!$C$14),IF(G486&lt;=Datos!$D$14,(G486*Datos!$C$14)))</f>
        <v>1722</v>
      </c>
      <c r="K486" s="164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3486.6756666666661</v>
      </c>
      <c r="L486" s="163">
        <f>IF(G486&gt;=Datos!$D$15,(Datos!$D$15*Datos!$C$15),IF(G486&lt;=Datos!$D$15,(G486*Datos!$C$15)))</f>
        <v>1824</v>
      </c>
      <c r="M486" s="162">
        <v>25</v>
      </c>
      <c r="N486" s="162">
        <f t="shared" si="433"/>
        <v>7057.6756666666661</v>
      </c>
      <c r="O486" s="191">
        <f t="shared" si="434"/>
        <v>52942.324333333338</v>
      </c>
    </row>
    <row r="487" spans="1:15" ht="36.75" customHeight="1" x14ac:dyDescent="0.2">
      <c r="A487" s="225">
        <v>391</v>
      </c>
      <c r="B487" s="227" t="s">
        <v>960</v>
      </c>
      <c r="C487" s="227" t="s">
        <v>285</v>
      </c>
      <c r="D487" s="99" t="s">
        <v>607</v>
      </c>
      <c r="E487" s="228" t="s">
        <v>280</v>
      </c>
      <c r="F487" s="228" t="s">
        <v>19</v>
      </c>
      <c r="G487" s="162">
        <v>60000</v>
      </c>
      <c r="H487" s="162">
        <v>0</v>
      </c>
      <c r="I487" s="162">
        <f t="shared" si="432"/>
        <v>60000</v>
      </c>
      <c r="J487" s="163">
        <f>IF(G487&gt;=Datos!$D$14,(Datos!$D$14*Datos!$C$14),IF(G487&lt;=Datos!$D$14,(G487*Datos!$C$14)))</f>
        <v>1722</v>
      </c>
      <c r="K487" s="164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3486.6756666666661</v>
      </c>
      <c r="L487" s="163">
        <f>IF(G487&gt;=Datos!$D$15,(Datos!$D$15*Datos!$C$15),IF(G487&lt;=Datos!$D$15,(G487*Datos!$C$15)))</f>
        <v>1824</v>
      </c>
      <c r="M487" s="162">
        <v>25</v>
      </c>
      <c r="N487" s="162">
        <f t="shared" si="433"/>
        <v>7057.6756666666661</v>
      </c>
      <c r="O487" s="191">
        <f t="shared" si="434"/>
        <v>52942.324333333338</v>
      </c>
    </row>
    <row r="488" spans="1:15" ht="36.75" customHeight="1" x14ac:dyDescent="0.2">
      <c r="A488" s="225">
        <v>392</v>
      </c>
      <c r="B488" s="227" t="s">
        <v>961</v>
      </c>
      <c r="C488" s="227" t="s">
        <v>285</v>
      </c>
      <c r="D488" s="99" t="s">
        <v>607</v>
      </c>
      <c r="E488" s="228" t="s">
        <v>280</v>
      </c>
      <c r="F488" s="228" t="s">
        <v>19</v>
      </c>
      <c r="G488" s="162">
        <v>60000</v>
      </c>
      <c r="H488" s="162">
        <v>0</v>
      </c>
      <c r="I488" s="162">
        <f t="shared" si="432"/>
        <v>60000</v>
      </c>
      <c r="J488" s="163">
        <f>IF(G488&gt;=Datos!$D$14,(Datos!$D$14*Datos!$C$14),IF(G488&lt;=Datos!$D$14,(G488*Datos!$C$14)))</f>
        <v>1722</v>
      </c>
      <c r="K488" s="164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3486.6756666666661</v>
      </c>
      <c r="L488" s="163">
        <f>IF(G488&gt;=Datos!$D$15,(Datos!$D$15*Datos!$C$15),IF(G488&lt;=Datos!$D$15,(G488*Datos!$C$15)))</f>
        <v>1824</v>
      </c>
      <c r="M488" s="162">
        <v>25</v>
      </c>
      <c r="N488" s="162">
        <f t="shared" si="433"/>
        <v>7057.6756666666661</v>
      </c>
      <c r="O488" s="191">
        <f t="shared" si="434"/>
        <v>52942.324333333338</v>
      </c>
    </row>
    <row r="489" spans="1:15" ht="36.75" customHeight="1" x14ac:dyDescent="0.2">
      <c r="A489" s="225">
        <v>393</v>
      </c>
      <c r="B489" s="227" t="s">
        <v>962</v>
      </c>
      <c r="C489" s="227" t="s">
        <v>285</v>
      </c>
      <c r="D489" s="99" t="s">
        <v>710</v>
      </c>
      <c r="E489" s="228" t="s">
        <v>280</v>
      </c>
      <c r="F489" s="228" t="s">
        <v>19</v>
      </c>
      <c r="G489" s="162">
        <v>60000</v>
      </c>
      <c r="H489" s="162">
        <v>0</v>
      </c>
      <c r="I489" s="162">
        <f t="shared" si="432"/>
        <v>60000</v>
      </c>
      <c r="J489" s="163">
        <f>IF(G489&gt;=Datos!$D$14,(Datos!$D$14*Datos!$C$14),IF(G489&lt;=Datos!$D$14,(G489*Datos!$C$14)))</f>
        <v>1722</v>
      </c>
      <c r="K489" s="164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3486.6756666666661</v>
      </c>
      <c r="L489" s="163">
        <f>IF(G489&gt;=Datos!$D$15,(Datos!$D$15*Datos!$C$15),IF(G489&lt;=Datos!$D$15,(G489*Datos!$C$15)))</f>
        <v>1824</v>
      </c>
      <c r="M489" s="162">
        <v>25</v>
      </c>
      <c r="N489" s="162">
        <f t="shared" si="433"/>
        <v>7057.6756666666661</v>
      </c>
      <c r="O489" s="191">
        <f t="shared" si="434"/>
        <v>52942.324333333338</v>
      </c>
    </row>
    <row r="490" spans="1:15" ht="36.75" customHeight="1" x14ac:dyDescent="0.2">
      <c r="A490" s="225">
        <v>394</v>
      </c>
      <c r="B490" s="227" t="s">
        <v>963</v>
      </c>
      <c r="C490" s="227" t="s">
        <v>285</v>
      </c>
      <c r="D490" s="99" t="s">
        <v>710</v>
      </c>
      <c r="E490" s="228" t="s">
        <v>280</v>
      </c>
      <c r="F490" s="228" t="s">
        <v>19</v>
      </c>
      <c r="G490" s="162">
        <v>60000</v>
      </c>
      <c r="H490" s="162">
        <v>0</v>
      </c>
      <c r="I490" s="162">
        <f t="shared" si="432"/>
        <v>60000</v>
      </c>
      <c r="J490" s="163">
        <f>IF(G490&gt;=Datos!$D$14,(Datos!$D$14*Datos!$C$14),IF(G490&lt;=Datos!$D$14,(G490*Datos!$C$14)))</f>
        <v>1722</v>
      </c>
      <c r="K490" s="164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3486.6756666666661</v>
      </c>
      <c r="L490" s="163">
        <f>IF(G490&gt;=Datos!$D$15,(Datos!$D$15*Datos!$C$15),IF(G490&lt;=Datos!$D$15,(G490*Datos!$C$15)))</f>
        <v>1824</v>
      </c>
      <c r="M490" s="162">
        <v>25</v>
      </c>
      <c r="N490" s="162">
        <f t="shared" si="433"/>
        <v>7057.6756666666661</v>
      </c>
      <c r="O490" s="191">
        <f t="shared" si="434"/>
        <v>52942.324333333338</v>
      </c>
    </row>
    <row r="491" spans="1:15" ht="36.75" customHeight="1" x14ac:dyDescent="0.2">
      <c r="A491" s="225">
        <v>395</v>
      </c>
      <c r="B491" s="227" t="s">
        <v>964</v>
      </c>
      <c r="C491" s="227" t="s">
        <v>285</v>
      </c>
      <c r="D491" s="99" t="s">
        <v>710</v>
      </c>
      <c r="E491" s="228" t="s">
        <v>280</v>
      </c>
      <c r="F491" s="228" t="s">
        <v>19</v>
      </c>
      <c r="G491" s="162">
        <v>60000</v>
      </c>
      <c r="H491" s="162">
        <v>0</v>
      </c>
      <c r="I491" s="162">
        <f t="shared" si="432"/>
        <v>60000</v>
      </c>
      <c r="J491" s="163">
        <f>IF(G491&gt;=Datos!$D$14,(Datos!$D$14*Datos!$C$14),IF(G491&lt;=Datos!$D$14,(G491*Datos!$C$14)))</f>
        <v>1722</v>
      </c>
      <c r="K491" s="164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3486.6756666666661</v>
      </c>
      <c r="L491" s="163">
        <f>IF(G491&gt;=Datos!$D$15,(Datos!$D$15*Datos!$C$15),IF(G491&lt;=Datos!$D$15,(G491*Datos!$C$15)))</f>
        <v>1824</v>
      </c>
      <c r="M491" s="162">
        <v>25</v>
      </c>
      <c r="N491" s="162">
        <f t="shared" si="433"/>
        <v>7057.6756666666661</v>
      </c>
      <c r="O491" s="191">
        <f t="shared" si="434"/>
        <v>52942.324333333338</v>
      </c>
    </row>
    <row r="492" spans="1:15" ht="36.75" customHeight="1" x14ac:dyDescent="0.2">
      <c r="A492" s="225">
        <v>396</v>
      </c>
      <c r="B492" s="227" t="s">
        <v>965</v>
      </c>
      <c r="C492" s="227" t="s">
        <v>285</v>
      </c>
      <c r="D492" s="99" t="s">
        <v>710</v>
      </c>
      <c r="E492" s="228" t="s">
        <v>280</v>
      </c>
      <c r="F492" s="228" t="s">
        <v>19</v>
      </c>
      <c r="G492" s="162">
        <v>60000</v>
      </c>
      <c r="H492" s="162">
        <v>0</v>
      </c>
      <c r="I492" s="162">
        <f t="shared" si="432"/>
        <v>60000</v>
      </c>
      <c r="J492" s="163">
        <f>IF(G492&gt;=Datos!$D$14,(Datos!$D$14*Datos!$C$14),IF(G492&lt;=Datos!$D$14,(G492*Datos!$C$14)))</f>
        <v>1722</v>
      </c>
      <c r="K492" s="164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3486.6756666666661</v>
      </c>
      <c r="L492" s="163">
        <f>IF(G492&gt;=Datos!$D$15,(Datos!$D$15*Datos!$C$15),IF(G492&lt;=Datos!$D$15,(G492*Datos!$C$15)))</f>
        <v>1824</v>
      </c>
      <c r="M492" s="162">
        <v>25</v>
      </c>
      <c r="N492" s="162">
        <f t="shared" si="433"/>
        <v>7057.6756666666661</v>
      </c>
      <c r="O492" s="191">
        <f t="shared" si="434"/>
        <v>52942.324333333338</v>
      </c>
    </row>
    <row r="493" spans="1:15" ht="36.75" customHeight="1" x14ac:dyDescent="0.2">
      <c r="A493" s="225">
        <v>397</v>
      </c>
      <c r="B493" s="227" t="s">
        <v>966</v>
      </c>
      <c r="C493" s="227" t="s">
        <v>285</v>
      </c>
      <c r="D493" s="99" t="s">
        <v>710</v>
      </c>
      <c r="E493" s="228" t="s">
        <v>280</v>
      </c>
      <c r="F493" s="228" t="s">
        <v>19</v>
      </c>
      <c r="G493" s="162">
        <v>60000</v>
      </c>
      <c r="H493" s="162">
        <v>0</v>
      </c>
      <c r="I493" s="162">
        <f t="shared" si="432"/>
        <v>60000</v>
      </c>
      <c r="J493" s="163">
        <f>IF(G493&gt;=Datos!$D$14,(Datos!$D$14*Datos!$C$14),IF(G493&lt;=Datos!$D$14,(G493*Datos!$C$14)))</f>
        <v>1722</v>
      </c>
      <c r="K493" s="164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3486.6756666666661</v>
      </c>
      <c r="L493" s="163">
        <f>IF(G493&gt;=Datos!$D$15,(Datos!$D$15*Datos!$C$15),IF(G493&lt;=Datos!$D$15,(G493*Datos!$C$15)))</f>
        <v>1824</v>
      </c>
      <c r="M493" s="162">
        <v>25</v>
      </c>
      <c r="N493" s="162">
        <f t="shared" si="433"/>
        <v>7057.6756666666661</v>
      </c>
      <c r="O493" s="191">
        <f t="shared" si="434"/>
        <v>52942.324333333338</v>
      </c>
    </row>
    <row r="494" spans="1:15" ht="36.75" customHeight="1" x14ac:dyDescent="0.2">
      <c r="A494" s="225">
        <v>398</v>
      </c>
      <c r="B494" s="227" t="s">
        <v>967</v>
      </c>
      <c r="C494" s="227" t="s">
        <v>285</v>
      </c>
      <c r="D494" s="99" t="s">
        <v>710</v>
      </c>
      <c r="E494" s="228" t="s">
        <v>280</v>
      </c>
      <c r="F494" s="228" t="s">
        <v>19</v>
      </c>
      <c r="G494" s="162">
        <v>60000</v>
      </c>
      <c r="H494" s="162">
        <v>0</v>
      </c>
      <c r="I494" s="162">
        <f t="shared" si="432"/>
        <v>60000</v>
      </c>
      <c r="J494" s="163">
        <f>IF(G494&gt;=Datos!$D$14,(Datos!$D$14*Datos!$C$14),IF(G494&lt;=Datos!$D$14,(G494*Datos!$C$14)))</f>
        <v>1722</v>
      </c>
      <c r="K494" s="164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3486.6756666666661</v>
      </c>
      <c r="L494" s="163">
        <f>IF(G494&gt;=Datos!$D$15,(Datos!$D$15*Datos!$C$15),IF(G494&lt;=Datos!$D$15,(G494*Datos!$C$15)))</f>
        <v>1824</v>
      </c>
      <c r="M494" s="162">
        <v>25</v>
      </c>
      <c r="N494" s="162">
        <f t="shared" si="433"/>
        <v>7057.6756666666661</v>
      </c>
      <c r="O494" s="191">
        <f t="shared" si="434"/>
        <v>52942.324333333338</v>
      </c>
    </row>
    <row r="495" spans="1:15" ht="36.75" customHeight="1" x14ac:dyDescent="0.2">
      <c r="A495" s="225">
        <v>399</v>
      </c>
      <c r="B495" s="227" t="s">
        <v>968</v>
      </c>
      <c r="C495" s="227" t="s">
        <v>285</v>
      </c>
      <c r="D495" s="99" t="s">
        <v>452</v>
      </c>
      <c r="E495" s="228" t="s">
        <v>280</v>
      </c>
      <c r="F495" s="228" t="s">
        <v>19</v>
      </c>
      <c r="G495" s="162">
        <v>35000</v>
      </c>
      <c r="H495" s="162">
        <v>0</v>
      </c>
      <c r="I495" s="162">
        <f t="shared" ref="I495:I496" si="435">SUM(G495:H495)</f>
        <v>35000</v>
      </c>
      <c r="J495" s="163">
        <f>IF(G495&gt;=Datos!$D$14,(Datos!$D$14*Datos!$C$14),IF(G495&lt;=Datos!$D$14,(G495*Datos!$C$14)))</f>
        <v>1004.5</v>
      </c>
      <c r="K495" s="164" t="str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0</v>
      </c>
      <c r="L495" s="163">
        <f>IF(G495&gt;=Datos!$D$15,(Datos!$D$15*Datos!$C$15),IF(G495&lt;=Datos!$D$15,(G495*Datos!$C$15)))</f>
        <v>1064</v>
      </c>
      <c r="M495" s="162">
        <v>25</v>
      </c>
      <c r="N495" s="162">
        <f t="shared" ref="N495:N496" si="436">SUM(J495:M495)</f>
        <v>2093.5</v>
      </c>
      <c r="O495" s="191">
        <f t="shared" ref="O495:O496" si="437">+G495-N495</f>
        <v>32906.5</v>
      </c>
    </row>
    <row r="496" spans="1:15" ht="36.75" customHeight="1" x14ac:dyDescent="0.2">
      <c r="A496" s="225">
        <v>400</v>
      </c>
      <c r="B496" s="227" t="s">
        <v>969</v>
      </c>
      <c r="C496" s="227" t="s">
        <v>285</v>
      </c>
      <c r="D496" s="99" t="s">
        <v>452</v>
      </c>
      <c r="E496" s="228" t="s">
        <v>280</v>
      </c>
      <c r="F496" s="228" t="s">
        <v>19</v>
      </c>
      <c r="G496" s="162">
        <v>35000</v>
      </c>
      <c r="H496" s="162">
        <v>0</v>
      </c>
      <c r="I496" s="162">
        <f t="shared" si="435"/>
        <v>35000</v>
      </c>
      <c r="J496" s="163">
        <f>IF(G496&gt;=Datos!$D$14,(Datos!$D$14*Datos!$C$14),IF(G496&lt;=Datos!$D$14,(G496*Datos!$C$14)))</f>
        <v>1004.5</v>
      </c>
      <c r="K496" s="164" t="str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0</v>
      </c>
      <c r="L496" s="163">
        <f>IF(G496&gt;=Datos!$D$15,(Datos!$D$15*Datos!$C$15),IF(G496&lt;=Datos!$D$15,(G496*Datos!$C$15)))</f>
        <v>1064</v>
      </c>
      <c r="M496" s="162">
        <v>25</v>
      </c>
      <c r="N496" s="162">
        <f t="shared" si="436"/>
        <v>2093.5</v>
      </c>
      <c r="O496" s="191">
        <f t="shared" si="437"/>
        <v>32906.5</v>
      </c>
    </row>
    <row r="497" spans="1:16" ht="36.75" customHeight="1" x14ac:dyDescent="0.2">
      <c r="A497" s="225">
        <v>401</v>
      </c>
      <c r="B497" s="227" t="s">
        <v>1037</v>
      </c>
      <c r="C497" s="227" t="s">
        <v>285</v>
      </c>
      <c r="D497" s="99" t="s">
        <v>623</v>
      </c>
      <c r="E497" s="228" t="s">
        <v>280</v>
      </c>
      <c r="F497" s="228" t="s">
        <v>19</v>
      </c>
      <c r="G497" s="162">
        <v>60000</v>
      </c>
      <c r="H497" s="162">
        <v>0</v>
      </c>
      <c r="I497" s="162">
        <f t="shared" si="432"/>
        <v>60000</v>
      </c>
      <c r="J497" s="163">
        <f>IF(G497&gt;=Datos!$D$14,(Datos!$D$14*Datos!$C$14),IF(G497&lt;=Datos!$D$14,(G497*Datos!$C$14)))</f>
        <v>1722</v>
      </c>
      <c r="K497" s="164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3486.6756666666661</v>
      </c>
      <c r="L497" s="163">
        <f>IF(G497&gt;=Datos!$D$15,(Datos!$D$15*Datos!$C$15),IF(G497&lt;=Datos!$D$15,(G497*Datos!$C$15)))</f>
        <v>1824</v>
      </c>
      <c r="M497" s="162">
        <v>25</v>
      </c>
      <c r="N497" s="162">
        <f t="shared" si="433"/>
        <v>7057.6756666666661</v>
      </c>
      <c r="O497" s="191">
        <f t="shared" si="434"/>
        <v>52942.324333333338</v>
      </c>
    </row>
    <row r="498" spans="1:16" ht="36.75" customHeight="1" x14ac:dyDescent="0.2">
      <c r="A498" s="225">
        <v>402</v>
      </c>
      <c r="B498" s="227" t="s">
        <v>987</v>
      </c>
      <c r="C498" s="227" t="s">
        <v>285</v>
      </c>
      <c r="D498" s="99" t="s">
        <v>452</v>
      </c>
      <c r="E498" s="228" t="s">
        <v>280</v>
      </c>
      <c r="F498" s="228" t="s">
        <v>19</v>
      </c>
      <c r="G498" s="162">
        <v>35000</v>
      </c>
      <c r="H498" s="162">
        <v>0</v>
      </c>
      <c r="I498" s="162">
        <f t="shared" ref="I498:I499" si="438">SUM(G498:H498)</f>
        <v>35000</v>
      </c>
      <c r="J498" s="163">
        <f>IF(G498&gt;=Datos!$D$14,(Datos!$D$14*Datos!$C$14),IF(G498&lt;=Datos!$D$14,(G498*Datos!$C$14)))</f>
        <v>1004.5</v>
      </c>
      <c r="K498" s="164" t="str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0</v>
      </c>
      <c r="L498" s="163">
        <f>IF(G498&gt;=Datos!$D$15,(Datos!$D$15*Datos!$C$15),IF(G498&lt;=Datos!$D$15,(G498*Datos!$C$15)))</f>
        <v>1064</v>
      </c>
      <c r="M498" s="162">
        <v>25</v>
      </c>
      <c r="N498" s="162">
        <f t="shared" si="433"/>
        <v>2093.5</v>
      </c>
      <c r="O498" s="191">
        <f t="shared" si="434"/>
        <v>32906.5</v>
      </c>
    </row>
    <row r="499" spans="1:16" ht="36.75" customHeight="1" x14ac:dyDescent="0.2">
      <c r="A499" s="225">
        <v>403</v>
      </c>
      <c r="B499" s="226" t="s">
        <v>989</v>
      </c>
      <c r="C499" s="227" t="s">
        <v>285</v>
      </c>
      <c r="D499" s="99" t="s">
        <v>452</v>
      </c>
      <c r="E499" s="228" t="s">
        <v>280</v>
      </c>
      <c r="F499" s="228" t="s">
        <v>19</v>
      </c>
      <c r="G499" s="162">
        <v>35000</v>
      </c>
      <c r="H499" s="162">
        <v>0</v>
      </c>
      <c r="I499" s="162">
        <f t="shared" si="438"/>
        <v>35000</v>
      </c>
      <c r="J499" s="163">
        <f>IF(G499&gt;=Datos!$D$14,(Datos!$D$14*Datos!$C$14),IF(G499&lt;=Datos!$D$14,(G499*Datos!$C$14)))</f>
        <v>1004.5</v>
      </c>
      <c r="K499" s="164" t="str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0</v>
      </c>
      <c r="L499" s="163">
        <f>IF(G499&gt;=Datos!$D$15,(Datos!$D$15*Datos!$C$15),IF(G499&lt;=Datos!$D$15,(G499*Datos!$C$15)))</f>
        <v>1064</v>
      </c>
      <c r="M499" s="162">
        <v>25</v>
      </c>
      <c r="N499" s="162">
        <f t="shared" si="433"/>
        <v>2093.5</v>
      </c>
      <c r="O499" s="191">
        <f t="shared" si="434"/>
        <v>32906.5</v>
      </c>
    </row>
    <row r="500" spans="1:16" ht="36.75" customHeight="1" x14ac:dyDescent="0.2">
      <c r="A500" s="225">
        <v>404</v>
      </c>
      <c r="B500" s="227" t="s">
        <v>1038</v>
      </c>
      <c r="C500" s="227" t="s">
        <v>285</v>
      </c>
      <c r="D500" s="99" t="s">
        <v>452</v>
      </c>
      <c r="E500" s="228" t="s">
        <v>280</v>
      </c>
      <c r="F500" s="228" t="s">
        <v>19</v>
      </c>
      <c r="G500" s="162">
        <v>35000</v>
      </c>
      <c r="H500" s="162">
        <v>0</v>
      </c>
      <c r="I500" s="162">
        <f t="shared" si="432"/>
        <v>35000</v>
      </c>
      <c r="J500" s="163">
        <f>IF(G500&gt;=Datos!$D$14,(Datos!$D$14*Datos!$C$14),IF(G500&lt;=Datos!$D$14,(G500*Datos!$C$14)))</f>
        <v>1004.5</v>
      </c>
      <c r="K500" s="164" t="str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0</v>
      </c>
      <c r="L500" s="163">
        <f>IF(G500&gt;=Datos!$D$15,(Datos!$D$15*Datos!$C$15),IF(G500&lt;=Datos!$D$15,(G500*Datos!$C$15)))</f>
        <v>1064</v>
      </c>
      <c r="M500" s="162">
        <v>25</v>
      </c>
      <c r="N500" s="162">
        <f t="shared" si="433"/>
        <v>2093.5</v>
      </c>
      <c r="O500" s="191">
        <f t="shared" si="434"/>
        <v>32906.5</v>
      </c>
    </row>
    <row r="501" spans="1:16" s="234" customFormat="1" ht="36.75" customHeight="1" x14ac:dyDescent="0.2">
      <c r="A501" s="277" t="s">
        <v>455</v>
      </c>
      <c r="B501" s="302"/>
      <c r="C501" s="252">
        <v>70</v>
      </c>
      <c r="D501" s="252"/>
      <c r="E501" s="253"/>
      <c r="F501" s="254"/>
      <c r="G501" s="167">
        <f>SUM(G431:G500)</f>
        <v>4529939.4700000007</v>
      </c>
      <c r="H501" s="167">
        <f t="shared" ref="H501:O501" si="439">SUM(H431:H500)</f>
        <v>0</v>
      </c>
      <c r="I501" s="167">
        <f t="shared" si="439"/>
        <v>4529939.4700000007</v>
      </c>
      <c r="J501" s="167">
        <f t="shared" si="439"/>
        <v>130009.26278900003</v>
      </c>
      <c r="K501" s="167">
        <f t="shared" si="439"/>
        <v>329016.32236108312</v>
      </c>
      <c r="L501" s="167">
        <f t="shared" si="439"/>
        <v>137710.15988800002</v>
      </c>
      <c r="M501" s="167">
        <f t="shared" si="439"/>
        <v>18689.139999999996</v>
      </c>
      <c r="N501" s="167">
        <f t="shared" si="439"/>
        <v>615424.88503808365</v>
      </c>
      <c r="O501" s="167">
        <f t="shared" si="439"/>
        <v>3914514.5849619177</v>
      </c>
    </row>
    <row r="502" spans="1:16" ht="36.75" customHeight="1" x14ac:dyDescent="0.2">
      <c r="A502" s="277" t="s">
        <v>613</v>
      </c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9"/>
    </row>
    <row r="503" spans="1:16" ht="36.75" customHeight="1" x14ac:dyDescent="0.2">
      <c r="A503" s="225">
        <v>405</v>
      </c>
      <c r="B503" s="227" t="s">
        <v>776</v>
      </c>
      <c r="C503" s="227" t="s">
        <v>332</v>
      </c>
      <c r="D503" s="99" t="s">
        <v>710</v>
      </c>
      <c r="E503" s="228" t="s">
        <v>280</v>
      </c>
      <c r="F503" s="228" t="s">
        <v>19</v>
      </c>
      <c r="G503" s="162">
        <v>72600</v>
      </c>
      <c r="H503" s="162">
        <v>0</v>
      </c>
      <c r="I503" s="162">
        <f t="shared" ref="I503:I522" si="440">SUM(G503:H503)</f>
        <v>72600</v>
      </c>
      <c r="J503" s="163">
        <f>IF(G503&gt;=Datos!$D$14,(Datos!$D$14*Datos!$C$14),IF(G503&lt;=Datos!$D$14,(G503*Datos!$C$14)))</f>
        <v>2083.62</v>
      </c>
      <c r="K503" s="164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5857.743666666669</v>
      </c>
      <c r="L503" s="163">
        <f>IF(G503&gt;=Datos!$D$15,(Datos!$D$15*Datos!$C$15),IF(G503&lt;=Datos!$D$15,(G503*Datos!$C$15)))</f>
        <v>2207.04</v>
      </c>
      <c r="M503" s="162">
        <v>25</v>
      </c>
      <c r="N503" s="162">
        <f t="shared" ref="N503:N508" si="441">SUM(J503:M503)</f>
        <v>10173.403666666669</v>
      </c>
      <c r="O503" s="191">
        <f t="shared" ref="O503:O508" si="442">+G503-N503</f>
        <v>62426.596333333335</v>
      </c>
    </row>
    <row r="504" spans="1:16" ht="36.75" customHeight="1" x14ac:dyDescent="0.2">
      <c r="A504" s="225">
        <v>406</v>
      </c>
      <c r="B504" s="227" t="s">
        <v>777</v>
      </c>
      <c r="C504" s="227" t="s">
        <v>332</v>
      </c>
      <c r="D504" s="99" t="s">
        <v>288</v>
      </c>
      <c r="E504" s="228" t="s">
        <v>280</v>
      </c>
      <c r="F504" s="228" t="s">
        <v>19</v>
      </c>
      <c r="G504" s="162">
        <v>72600</v>
      </c>
      <c r="H504" s="162">
        <v>0</v>
      </c>
      <c r="I504" s="162">
        <f t="shared" si="440"/>
        <v>72600</v>
      </c>
      <c r="J504" s="163">
        <f>IF(G504&gt;=Datos!$D$14,(Datos!$D$14*Datos!$C$14),IF(G504&lt;=Datos!$D$14,(G504*Datos!$C$14)))</f>
        <v>2083.62</v>
      </c>
      <c r="K504" s="164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5857.743666666669</v>
      </c>
      <c r="L504" s="163">
        <f>IF(G504&gt;=Datos!$D$15,(Datos!$D$15*Datos!$C$15),IF(G504&lt;=Datos!$D$15,(G504*Datos!$C$15)))</f>
        <v>2207.04</v>
      </c>
      <c r="M504" s="162">
        <v>25</v>
      </c>
      <c r="N504" s="162">
        <f t="shared" ref="N504:N507" si="443">SUM(J504:M504)</f>
        <v>10173.403666666669</v>
      </c>
      <c r="O504" s="191">
        <f t="shared" ref="O504:O507" si="444">+G504-N504</f>
        <v>62426.596333333335</v>
      </c>
    </row>
    <row r="505" spans="1:16" ht="36.75" customHeight="1" x14ac:dyDescent="0.2">
      <c r="A505" s="225">
        <v>407</v>
      </c>
      <c r="B505" s="227" t="s">
        <v>779</v>
      </c>
      <c r="C505" s="227" t="s">
        <v>332</v>
      </c>
      <c r="D505" s="99" t="s">
        <v>622</v>
      </c>
      <c r="E505" s="228" t="s">
        <v>280</v>
      </c>
      <c r="F505" s="228" t="s">
        <v>19</v>
      </c>
      <c r="G505" s="162">
        <v>72600</v>
      </c>
      <c r="H505" s="162">
        <v>0</v>
      </c>
      <c r="I505" s="162">
        <f t="shared" si="440"/>
        <v>72600</v>
      </c>
      <c r="J505" s="163">
        <f>IF(G505&gt;=Datos!$D$14,(Datos!$D$14*Datos!$C$14),IF(G505&lt;=Datos!$D$14,(G505*Datos!$C$14)))</f>
        <v>2083.62</v>
      </c>
      <c r="K505" s="164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5857.743666666669</v>
      </c>
      <c r="L505" s="163">
        <f>IF(G505&gt;=Datos!$D$15,(Datos!$D$15*Datos!$C$15),IF(G505&lt;=Datos!$D$15,(G505*Datos!$C$15)))</f>
        <v>2207.04</v>
      </c>
      <c r="M505" s="162">
        <v>25</v>
      </c>
      <c r="N505" s="162">
        <f t="shared" si="443"/>
        <v>10173.403666666669</v>
      </c>
      <c r="O505" s="191">
        <f t="shared" si="444"/>
        <v>62426.596333333335</v>
      </c>
    </row>
    <row r="506" spans="1:16" ht="36.75" customHeight="1" x14ac:dyDescent="0.2">
      <c r="A506" s="225">
        <v>408</v>
      </c>
      <c r="B506" s="227" t="s">
        <v>780</v>
      </c>
      <c r="C506" s="227" t="s">
        <v>332</v>
      </c>
      <c r="D506" s="99" t="s">
        <v>452</v>
      </c>
      <c r="E506" s="228" t="s">
        <v>280</v>
      </c>
      <c r="F506" s="228" t="s">
        <v>19</v>
      </c>
      <c r="G506" s="162">
        <v>35000</v>
      </c>
      <c r="H506" s="162">
        <v>0</v>
      </c>
      <c r="I506" s="162">
        <f t="shared" si="440"/>
        <v>35000</v>
      </c>
      <c r="J506" s="163">
        <f>IF(G506&gt;=Datos!$D$14,(Datos!$D$14*Datos!$C$14),IF(G506&lt;=Datos!$D$14,(G506*Datos!$C$14)))</f>
        <v>1004.5</v>
      </c>
      <c r="K506" s="164" t="str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0</v>
      </c>
      <c r="L506" s="163">
        <f>IF(G506&gt;=Datos!$D$15,(Datos!$D$15*Datos!$C$15),IF(G506&lt;=Datos!$D$15,(G506*Datos!$C$15)))</f>
        <v>1064</v>
      </c>
      <c r="M506" s="162">
        <v>25</v>
      </c>
      <c r="N506" s="162">
        <f t="shared" si="443"/>
        <v>2093.5</v>
      </c>
      <c r="O506" s="191">
        <f t="shared" si="444"/>
        <v>32906.5</v>
      </c>
    </row>
    <row r="507" spans="1:16" ht="36.75" customHeight="1" x14ac:dyDescent="0.2">
      <c r="A507" s="225">
        <v>409</v>
      </c>
      <c r="B507" s="227" t="s">
        <v>970</v>
      </c>
      <c r="C507" s="227" t="s">
        <v>332</v>
      </c>
      <c r="D507" s="99" t="s">
        <v>622</v>
      </c>
      <c r="E507" s="228" t="s">
        <v>280</v>
      </c>
      <c r="F507" s="228" t="s">
        <v>19</v>
      </c>
      <c r="G507" s="162">
        <v>60000</v>
      </c>
      <c r="H507" s="162">
        <v>0</v>
      </c>
      <c r="I507" s="162">
        <f t="shared" si="440"/>
        <v>60000</v>
      </c>
      <c r="J507" s="163">
        <f>IF(G507&gt;=Datos!$D$14,(Datos!$D$14*Datos!$C$14),IF(G507&lt;=Datos!$D$14,(G507*Datos!$C$14)))</f>
        <v>1722</v>
      </c>
      <c r="K507" s="164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3486.6756666666661</v>
      </c>
      <c r="L507" s="163">
        <f>IF(G507&gt;=Datos!$D$15,(Datos!$D$15*Datos!$C$15),IF(G507&lt;=Datos!$D$15,(G507*Datos!$C$15)))</f>
        <v>1824</v>
      </c>
      <c r="M507" s="162">
        <v>25</v>
      </c>
      <c r="N507" s="162">
        <f t="shared" si="443"/>
        <v>7057.6756666666661</v>
      </c>
      <c r="O507" s="191">
        <f t="shared" si="444"/>
        <v>52942.324333333338</v>
      </c>
    </row>
    <row r="508" spans="1:16" ht="36.75" customHeight="1" x14ac:dyDescent="0.2">
      <c r="A508" s="225">
        <v>410</v>
      </c>
      <c r="B508" s="226" t="s">
        <v>972</v>
      </c>
      <c r="C508" s="227" t="s">
        <v>332</v>
      </c>
      <c r="D508" s="99" t="s">
        <v>452</v>
      </c>
      <c r="E508" s="228" t="s">
        <v>280</v>
      </c>
      <c r="F508" s="228" t="s">
        <v>19</v>
      </c>
      <c r="G508" s="138">
        <v>35000</v>
      </c>
      <c r="H508" s="162">
        <v>0</v>
      </c>
      <c r="I508" s="162">
        <f t="shared" si="440"/>
        <v>35000</v>
      </c>
      <c r="J508" s="163">
        <f>IF(G508&gt;=Datos!$D$14,(Datos!$D$14*Datos!$C$14),IF(G508&lt;=Datos!$D$14,(G508*Datos!$C$14)))</f>
        <v>1004.5</v>
      </c>
      <c r="K508" s="164" t="str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0</v>
      </c>
      <c r="L508" s="163">
        <f>IF(G508&gt;=Datos!$D$15,(Datos!$D$15*Datos!$C$15),IF(G508&lt;=Datos!$D$15,(G508*Datos!$C$15)))</f>
        <v>1064</v>
      </c>
      <c r="M508" s="162">
        <v>25</v>
      </c>
      <c r="N508" s="162">
        <f t="shared" si="441"/>
        <v>2093.5</v>
      </c>
      <c r="O508" s="191">
        <f t="shared" si="442"/>
        <v>32906.5</v>
      </c>
      <c r="P508" s="13"/>
    </row>
    <row r="509" spans="1:16" ht="36.75" customHeight="1" x14ac:dyDescent="0.2">
      <c r="A509" s="225">
        <v>411</v>
      </c>
      <c r="B509" s="227" t="s">
        <v>973</v>
      </c>
      <c r="C509" s="227" t="s">
        <v>332</v>
      </c>
      <c r="D509" s="99" t="s">
        <v>608</v>
      </c>
      <c r="E509" s="228" t="s">
        <v>280</v>
      </c>
      <c r="F509" s="228" t="s">
        <v>19</v>
      </c>
      <c r="G509" s="162">
        <v>60000</v>
      </c>
      <c r="H509" s="162">
        <v>0</v>
      </c>
      <c r="I509" s="162">
        <f t="shared" si="440"/>
        <v>60000</v>
      </c>
      <c r="J509" s="163">
        <f>IF(G509&gt;=Datos!$D$14,(Datos!$D$14*Datos!$C$14),IF(G509&lt;=Datos!$D$14,(G509*Datos!$C$14)))</f>
        <v>1722</v>
      </c>
      <c r="K509" s="164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3486.6756666666661</v>
      </c>
      <c r="L509" s="163">
        <f>IF(G509&gt;=Datos!$D$15,(Datos!$D$15*Datos!$C$15),IF(G509&lt;=Datos!$D$15,(G509*Datos!$C$15)))</f>
        <v>1824</v>
      </c>
      <c r="M509" s="162">
        <v>25</v>
      </c>
      <c r="N509" s="162">
        <f t="shared" ref="N509:N521" si="445">SUM(J509:M509)</f>
        <v>7057.6756666666661</v>
      </c>
      <c r="O509" s="191">
        <f t="shared" ref="O509:O521" si="446">+G509-N509</f>
        <v>52942.324333333338</v>
      </c>
    </row>
    <row r="510" spans="1:16" ht="36.75" customHeight="1" x14ac:dyDescent="0.2">
      <c r="A510" s="225">
        <v>412</v>
      </c>
      <c r="B510" s="227" t="s">
        <v>974</v>
      </c>
      <c r="C510" s="227" t="s">
        <v>332</v>
      </c>
      <c r="D510" s="99" t="s">
        <v>288</v>
      </c>
      <c r="E510" s="228" t="s">
        <v>280</v>
      </c>
      <c r="F510" s="228" t="s">
        <v>19</v>
      </c>
      <c r="G510" s="162">
        <v>80000</v>
      </c>
      <c r="H510" s="162">
        <v>0</v>
      </c>
      <c r="I510" s="162">
        <f t="shared" si="440"/>
        <v>80000</v>
      </c>
      <c r="J510" s="163">
        <f>IF(G510&gt;=Datos!$D$14,(Datos!$D$14*Datos!$C$14),IF(G510&lt;=Datos!$D$14,(G510*Datos!$C$14)))</f>
        <v>2296</v>
      </c>
      <c r="K510" s="164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7400.8606666666674</v>
      </c>
      <c r="L510" s="163">
        <f>IF(G510&gt;=Datos!$D$15,(Datos!$D$15*Datos!$C$15),IF(G510&lt;=Datos!$D$15,(G510*Datos!$C$15)))</f>
        <v>2432</v>
      </c>
      <c r="M510" s="162">
        <v>25</v>
      </c>
      <c r="N510" s="162">
        <f t="shared" si="445"/>
        <v>12153.860666666667</v>
      </c>
      <c r="O510" s="191">
        <f t="shared" si="446"/>
        <v>67846.139333333325</v>
      </c>
    </row>
    <row r="511" spans="1:16" ht="36.75" customHeight="1" x14ac:dyDescent="0.2">
      <c r="A511" s="225">
        <v>413</v>
      </c>
      <c r="B511" s="227" t="s">
        <v>342</v>
      </c>
      <c r="C511" s="227" t="s">
        <v>332</v>
      </c>
      <c r="D511" s="99" t="s">
        <v>607</v>
      </c>
      <c r="E511" s="228" t="s">
        <v>280</v>
      </c>
      <c r="F511" s="228" t="s">
        <v>19</v>
      </c>
      <c r="G511" s="162">
        <v>72600</v>
      </c>
      <c r="H511" s="162">
        <v>0</v>
      </c>
      <c r="I511" s="162">
        <f t="shared" si="440"/>
        <v>72600</v>
      </c>
      <c r="J511" s="163">
        <f>IF(G511&gt;=Datos!$D$14,(Datos!$D$14*Datos!$C$14),IF(G511&lt;=Datos!$D$14,(G511*Datos!$C$14)))</f>
        <v>2083.62</v>
      </c>
      <c r="K511" s="164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5857.743666666669</v>
      </c>
      <c r="L511" s="163">
        <f>IF(G511&gt;=Datos!$D$15,(Datos!$D$15*Datos!$C$15),IF(G511&lt;=Datos!$D$15,(G511*Datos!$C$15)))</f>
        <v>2207.04</v>
      </c>
      <c r="M511" s="162">
        <v>25</v>
      </c>
      <c r="N511" s="162">
        <f t="shared" si="445"/>
        <v>10173.403666666669</v>
      </c>
      <c r="O511" s="191">
        <f t="shared" si="446"/>
        <v>62426.596333333335</v>
      </c>
    </row>
    <row r="512" spans="1:16" ht="36.75" customHeight="1" x14ac:dyDescent="0.2">
      <c r="A512" s="225">
        <v>414</v>
      </c>
      <c r="B512" s="227" t="s">
        <v>71</v>
      </c>
      <c r="C512" s="227" t="s">
        <v>332</v>
      </c>
      <c r="D512" s="99" t="s">
        <v>1047</v>
      </c>
      <c r="E512" s="228" t="s">
        <v>280</v>
      </c>
      <c r="F512" s="228" t="s">
        <v>19</v>
      </c>
      <c r="G512" s="162">
        <v>100000</v>
      </c>
      <c r="H512" s="162">
        <v>0</v>
      </c>
      <c r="I512" s="162">
        <f t="shared" si="440"/>
        <v>100000</v>
      </c>
      <c r="J512" s="163">
        <f>IF(G512&gt;=Datos!$D$14,(Datos!$D$14*Datos!$C$14),IF(G512&lt;=Datos!$D$14,(G512*Datos!$C$14)))</f>
        <v>2870</v>
      </c>
      <c r="K512" s="164">
        <f>IF((G512-J512-L512)&lt;=Datos!$G$7,"0",IF((G512-J512-L512)&lt;=Datos!$G$8,((G512-J512-L512)-Datos!$F$8)*Datos!$I$6,IF((G512-J512-L512)&lt;=Datos!$G$9,Datos!$I$8+((G512-J512-L512)-Datos!$F$9)*Datos!$J$6,IF((G512-J512-L512)&gt;=Datos!$F$10,(Datos!$I$8+Datos!$J$8)+((G512-J512-L512)-Datos!$F$10)*Datos!$K$6))))</f>
        <v>12105.360666666667</v>
      </c>
      <c r="L512" s="163">
        <f>IF(G512&gt;=Datos!$D$15,(Datos!$D$15*Datos!$C$15),IF(G512&lt;=Datos!$D$15,(G512*Datos!$C$15)))</f>
        <v>3040</v>
      </c>
      <c r="M512" s="162">
        <v>25</v>
      </c>
      <c r="N512" s="162">
        <f t="shared" si="445"/>
        <v>18040.360666666667</v>
      </c>
      <c r="O512" s="191">
        <f t="shared" si="446"/>
        <v>81959.639333333325</v>
      </c>
    </row>
    <row r="513" spans="1:15" ht="36.75" customHeight="1" x14ac:dyDescent="0.2">
      <c r="A513" s="225">
        <v>415</v>
      </c>
      <c r="B513" s="227" t="s">
        <v>441</v>
      </c>
      <c r="C513" s="227" t="s">
        <v>332</v>
      </c>
      <c r="D513" s="99" t="s">
        <v>622</v>
      </c>
      <c r="E513" s="228" t="s">
        <v>280</v>
      </c>
      <c r="F513" s="228" t="s">
        <v>19</v>
      </c>
      <c r="G513" s="162">
        <v>72600</v>
      </c>
      <c r="H513" s="162">
        <v>0</v>
      </c>
      <c r="I513" s="162">
        <f t="shared" si="440"/>
        <v>72600</v>
      </c>
      <c r="J513" s="163">
        <f>IF(G513&gt;=Datos!$D$14,(Datos!$D$14*Datos!$C$14),IF(G513&lt;=Datos!$D$14,(G513*Datos!$C$14)))</f>
        <v>2083.62</v>
      </c>
      <c r="K513" s="164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5857.743666666669</v>
      </c>
      <c r="L513" s="163">
        <f>IF(G513&gt;=Datos!$D$15,(Datos!$D$15*Datos!$C$15),IF(G513&lt;=Datos!$D$15,(G513*Datos!$C$15)))</f>
        <v>2207.04</v>
      </c>
      <c r="M513" s="162">
        <v>25</v>
      </c>
      <c r="N513" s="162">
        <f t="shared" si="445"/>
        <v>10173.403666666669</v>
      </c>
      <c r="O513" s="191">
        <f t="shared" si="446"/>
        <v>62426.596333333335</v>
      </c>
    </row>
    <row r="514" spans="1:15" ht="36.75" customHeight="1" x14ac:dyDescent="0.2">
      <c r="A514" s="225">
        <v>416</v>
      </c>
      <c r="B514" s="227" t="s">
        <v>630</v>
      </c>
      <c r="C514" s="227" t="s">
        <v>332</v>
      </c>
      <c r="D514" s="227" t="s">
        <v>452</v>
      </c>
      <c r="E514" s="228" t="s">
        <v>280</v>
      </c>
      <c r="F514" s="228" t="s">
        <v>19</v>
      </c>
      <c r="G514" s="162">
        <v>35000</v>
      </c>
      <c r="H514" s="162">
        <v>0</v>
      </c>
      <c r="I514" s="162">
        <f t="shared" si="440"/>
        <v>35000</v>
      </c>
      <c r="J514" s="163">
        <f>IF(G514&gt;=Datos!$D$14,(Datos!$D$14*Datos!$C$14),IF(G514&lt;=Datos!$D$14,(G514*Datos!$C$14)))</f>
        <v>1004.5</v>
      </c>
      <c r="K514" s="164" t="str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0</v>
      </c>
      <c r="L514" s="163">
        <f>IF(G514&gt;=Datos!$D$15,(Datos!$D$15*Datos!$C$15),IF(G514&lt;=Datos!$D$15,(G514*Datos!$C$15)))</f>
        <v>1064</v>
      </c>
      <c r="M514" s="162">
        <v>25</v>
      </c>
      <c r="N514" s="162">
        <f t="shared" si="445"/>
        <v>2093.5</v>
      </c>
      <c r="O514" s="191">
        <f t="shared" si="446"/>
        <v>32906.5</v>
      </c>
    </row>
    <row r="515" spans="1:15" ht="36.75" customHeight="1" x14ac:dyDescent="0.2">
      <c r="A515" s="225">
        <v>417</v>
      </c>
      <c r="B515" s="227" t="s">
        <v>838</v>
      </c>
      <c r="C515" s="227" t="s">
        <v>332</v>
      </c>
      <c r="D515" s="227" t="s">
        <v>288</v>
      </c>
      <c r="E515" s="228" t="s">
        <v>280</v>
      </c>
      <c r="F515" s="228" t="s">
        <v>19</v>
      </c>
      <c r="G515" s="162">
        <v>72600</v>
      </c>
      <c r="H515" s="162">
        <v>0</v>
      </c>
      <c r="I515" s="162">
        <f t="shared" si="440"/>
        <v>72600</v>
      </c>
      <c r="J515" s="163">
        <f>IF(G515&gt;=Datos!$D$14,(Datos!$D$14*Datos!$C$14),IF(G515&lt;=Datos!$D$14,(G515*Datos!$C$14)))</f>
        <v>2083.62</v>
      </c>
      <c r="K515" s="164">
        <f>IF((G515-J515-L515)&lt;=Datos!$G$7,"0",IF((G515-J515-L515)&lt;=Datos!$G$8,((G515-J515-L515)-Datos!$F$8)*Datos!$I$6,IF((G515-J515-L515)&lt;=Datos!$G$9,Datos!$I$8+((G515-J515-L515)-Datos!$F$9)*Datos!$J$6,IF((G515-J515-L515)&gt;=Datos!$F$10,(Datos!$I$8+Datos!$J$8)+((G515-J515-L515)-Datos!$F$10)*Datos!$K$6))))</f>
        <v>5857.743666666669</v>
      </c>
      <c r="L515" s="163">
        <f>IF(G515&gt;=Datos!$D$15,(Datos!$D$15*Datos!$C$15),IF(G515&lt;=Datos!$D$15,(G515*Datos!$C$15)))</f>
        <v>2207.04</v>
      </c>
      <c r="M515" s="162">
        <v>25</v>
      </c>
      <c r="N515" s="162">
        <f t="shared" si="445"/>
        <v>10173.403666666669</v>
      </c>
      <c r="O515" s="191">
        <f t="shared" si="446"/>
        <v>62426.596333333335</v>
      </c>
    </row>
    <row r="516" spans="1:15" ht="36.75" customHeight="1" x14ac:dyDescent="0.2">
      <c r="A516" s="225">
        <v>418</v>
      </c>
      <c r="B516" s="99" t="s">
        <v>449</v>
      </c>
      <c r="C516" s="227" t="s">
        <v>332</v>
      </c>
      <c r="D516" s="99" t="s">
        <v>452</v>
      </c>
      <c r="E516" s="228" t="s">
        <v>280</v>
      </c>
      <c r="F516" s="228" t="s">
        <v>19</v>
      </c>
      <c r="G516" s="162">
        <v>35000</v>
      </c>
      <c r="H516" s="162">
        <v>0</v>
      </c>
      <c r="I516" s="162">
        <f t="shared" si="440"/>
        <v>35000</v>
      </c>
      <c r="J516" s="163">
        <f>IF(G516&gt;=Datos!$D$14,(Datos!$D$14*Datos!$C$14),IF(G516&lt;=Datos!$D$14,(G516*Datos!$C$14)))</f>
        <v>1004.5</v>
      </c>
      <c r="K516" s="164" t="str">
        <f>IF((G516-J516-L516)&lt;=Datos!$G$7,"0",IF((G516-J516-L516)&lt;=Datos!$G$8,((G516-J516-L516)-Datos!$F$8)*Datos!$I$6,IF((G516-J516-L516)&lt;=Datos!$G$9,Datos!$I$8+((G516-J516-L516)-Datos!$F$9)*Datos!$J$6,IF((G516-J516-L516)&gt;=Datos!$F$10,(Datos!$I$8+Datos!$J$8)+((G516-J516-L516)-Datos!$F$10)*Datos!$K$6))))</f>
        <v>0</v>
      </c>
      <c r="L516" s="163">
        <f>IF(G516&gt;=Datos!$D$15,(Datos!$D$15*Datos!$C$15),IF(G516&lt;=Datos!$D$15,(G516*Datos!$C$15)))</f>
        <v>1064</v>
      </c>
      <c r="M516" s="162">
        <v>25</v>
      </c>
      <c r="N516" s="162">
        <f t="shared" si="445"/>
        <v>2093.5</v>
      </c>
      <c r="O516" s="191">
        <f t="shared" si="446"/>
        <v>32906.5</v>
      </c>
    </row>
    <row r="517" spans="1:15" ht="36.75" customHeight="1" x14ac:dyDescent="0.2">
      <c r="A517" s="225">
        <v>419</v>
      </c>
      <c r="B517" s="99" t="s">
        <v>337</v>
      </c>
      <c r="C517" s="227" t="s">
        <v>332</v>
      </c>
      <c r="D517" s="99" t="s">
        <v>452</v>
      </c>
      <c r="E517" s="228" t="s">
        <v>280</v>
      </c>
      <c r="F517" s="228" t="s">
        <v>19</v>
      </c>
      <c r="G517" s="162">
        <v>35000</v>
      </c>
      <c r="H517" s="162">
        <v>0</v>
      </c>
      <c r="I517" s="162">
        <f t="shared" si="440"/>
        <v>35000</v>
      </c>
      <c r="J517" s="163">
        <f>IF(G517&gt;=Datos!$D$14,(Datos!$D$14*Datos!$C$14),IF(G517&lt;=Datos!$D$14,(G517*Datos!$C$14)))</f>
        <v>1004.5</v>
      </c>
      <c r="K517" s="164" t="str">
        <f>IF((G517-J517-L517)&lt;=Datos!$G$7,"0",IF((G517-J517-L517)&lt;=Datos!$G$8,((G517-J517-L517)-Datos!$F$8)*Datos!$I$6,IF((G517-J517-L517)&lt;=Datos!$G$9,Datos!$I$8+((G517-J517-L517)-Datos!$F$9)*Datos!$J$6,IF((G517-J517-L517)&gt;=Datos!$F$10,(Datos!$I$8+Datos!$J$8)+((G517-J517-L517)-Datos!$F$10)*Datos!$K$6))))</f>
        <v>0</v>
      </c>
      <c r="L517" s="163">
        <f>IF(G517&gt;=Datos!$D$15,(Datos!$D$15*Datos!$C$15),IF(G517&lt;=Datos!$D$15,(G517*Datos!$C$15)))</f>
        <v>1064</v>
      </c>
      <c r="M517" s="162">
        <v>25</v>
      </c>
      <c r="N517" s="162">
        <f t="shared" si="445"/>
        <v>2093.5</v>
      </c>
      <c r="O517" s="191">
        <f t="shared" si="446"/>
        <v>32906.5</v>
      </c>
    </row>
    <row r="518" spans="1:15" ht="36.75" customHeight="1" x14ac:dyDescent="0.2">
      <c r="A518" s="225">
        <v>420</v>
      </c>
      <c r="B518" s="227" t="s">
        <v>64</v>
      </c>
      <c r="C518" s="227" t="s">
        <v>332</v>
      </c>
      <c r="D518" s="99" t="s">
        <v>608</v>
      </c>
      <c r="E518" s="228" t="s">
        <v>280</v>
      </c>
      <c r="F518" s="228" t="s">
        <v>19</v>
      </c>
      <c r="G518" s="162">
        <v>78650</v>
      </c>
      <c r="H518" s="162">
        <v>0</v>
      </c>
      <c r="I518" s="162">
        <f t="shared" si="440"/>
        <v>78650</v>
      </c>
      <c r="J518" s="163">
        <f>IF(G518&gt;=Datos!$D$14,(Datos!$D$14*Datos!$C$14),IF(G518&lt;=Datos!$D$14,(G518*Datos!$C$14)))</f>
        <v>2257.2550000000001</v>
      </c>
      <c r="K518" s="164">
        <f>IF((G518-J518-L518)&lt;=Datos!$G$7,"0",IF((G518-J518-L518)&lt;=Datos!$G$8,((G518-J518-L518)-Datos!$F$8)*Datos!$I$6,IF((G518-J518-L518)&lt;=Datos!$G$9,Datos!$I$8+((G518-J518-L518)-Datos!$F$9)*Datos!$J$6,IF((G518-J518-L518)&gt;=Datos!$F$10,(Datos!$I$8+Datos!$J$8)+((G518-J518-L518)-Datos!$F$10)*Datos!$K$6))))</f>
        <v>7083.3069166666646</v>
      </c>
      <c r="L518" s="163">
        <f>IF(G518&gt;=Datos!$D$15,(Datos!$D$15*Datos!$C$15),IF(G518&lt;=Datos!$D$15,(G518*Datos!$C$15)))</f>
        <v>2390.96</v>
      </c>
      <c r="M518" s="162">
        <v>13050.23</v>
      </c>
      <c r="N518" s="162">
        <f t="shared" si="445"/>
        <v>24781.751916666664</v>
      </c>
      <c r="O518" s="191">
        <f t="shared" si="446"/>
        <v>53868.248083333339</v>
      </c>
    </row>
    <row r="519" spans="1:15" ht="36.75" customHeight="1" x14ac:dyDescent="0.2">
      <c r="A519" s="225">
        <v>421</v>
      </c>
      <c r="B519" s="227" t="s">
        <v>120</v>
      </c>
      <c r="C519" s="227" t="s">
        <v>332</v>
      </c>
      <c r="D519" s="227" t="s">
        <v>622</v>
      </c>
      <c r="E519" s="228" t="s">
        <v>280</v>
      </c>
      <c r="F519" s="228" t="s">
        <v>281</v>
      </c>
      <c r="G519" s="162">
        <v>72600</v>
      </c>
      <c r="H519" s="162">
        <v>0</v>
      </c>
      <c r="I519" s="162">
        <f t="shared" si="440"/>
        <v>72600</v>
      </c>
      <c r="J519" s="163">
        <f>IF(G519&gt;=Datos!$D$14,(Datos!$D$14*Datos!$C$14),IF(G519&lt;=Datos!$D$14,(G519*Datos!$C$14)))</f>
        <v>2083.62</v>
      </c>
      <c r="K519" s="164">
        <f>IF((G519-J519-L519)&lt;=Datos!$G$7,"0",IF((G519-J519-L519)&lt;=Datos!$G$8,((G519-J519-L519)-Datos!$F$8)*Datos!$I$6,IF((G519-J519-L519)&lt;=Datos!$G$9,Datos!$I$8+((G519-J519-L519)-Datos!$F$9)*Datos!$J$6,IF((G519-J519-L519)&gt;=Datos!$F$10,(Datos!$I$8+Datos!$J$8)+((G519-J519-L519)-Datos!$F$10)*Datos!$K$6))))</f>
        <v>5857.743666666669</v>
      </c>
      <c r="L519" s="163">
        <f>IF(G519&gt;=Datos!$D$15,(Datos!$D$15*Datos!$C$15),IF(G519&lt;=Datos!$D$15,(G519*Datos!$C$15)))</f>
        <v>2207.04</v>
      </c>
      <c r="M519" s="162">
        <v>25</v>
      </c>
      <c r="N519" s="162">
        <f t="shared" si="445"/>
        <v>10173.403666666669</v>
      </c>
      <c r="O519" s="191">
        <f t="shared" si="446"/>
        <v>62426.596333333335</v>
      </c>
    </row>
    <row r="520" spans="1:15" ht="36.75" customHeight="1" x14ac:dyDescent="0.2">
      <c r="A520" s="225">
        <v>422</v>
      </c>
      <c r="B520" s="227" t="s">
        <v>48</v>
      </c>
      <c r="C520" s="227" t="s">
        <v>332</v>
      </c>
      <c r="D520" s="99" t="s">
        <v>607</v>
      </c>
      <c r="E520" s="228" t="s">
        <v>280</v>
      </c>
      <c r="F520" s="228" t="s">
        <v>19</v>
      </c>
      <c r="G520" s="162">
        <v>82582.5</v>
      </c>
      <c r="H520" s="162">
        <v>0</v>
      </c>
      <c r="I520" s="162">
        <f t="shared" si="440"/>
        <v>82582.5</v>
      </c>
      <c r="J520" s="163">
        <f>IF(G520&gt;=Datos!$D$14,(Datos!$D$14*Datos!$C$14),IF(G520&lt;=Datos!$D$14,(G520*Datos!$C$14)))</f>
        <v>2370.1177499999999</v>
      </c>
      <c r="K520" s="164">
        <v>7579.47</v>
      </c>
      <c r="L520" s="163">
        <f>IF(G520&gt;=Datos!$D$15,(Datos!$D$15*Datos!$C$15),IF(G520&lt;=Datos!$D$15,(G520*Datos!$C$15)))</f>
        <v>2510.5079999999998</v>
      </c>
      <c r="M520" s="162">
        <v>1740.46</v>
      </c>
      <c r="N520" s="162">
        <f t="shared" si="445"/>
        <v>14200.55575</v>
      </c>
      <c r="O520" s="191">
        <f t="shared" si="446"/>
        <v>68381.94425</v>
      </c>
    </row>
    <row r="521" spans="1:15" ht="36.75" customHeight="1" x14ac:dyDescent="0.2">
      <c r="A521" s="225">
        <v>423</v>
      </c>
      <c r="B521" s="247" t="s">
        <v>340</v>
      </c>
      <c r="C521" s="227" t="s">
        <v>332</v>
      </c>
      <c r="D521" s="137" t="s">
        <v>710</v>
      </c>
      <c r="E521" s="228" t="s">
        <v>280</v>
      </c>
      <c r="F521" s="228" t="s">
        <v>19</v>
      </c>
      <c r="G521" s="162">
        <v>72600</v>
      </c>
      <c r="H521" s="162">
        <v>0</v>
      </c>
      <c r="I521" s="162">
        <f t="shared" si="440"/>
        <v>72600</v>
      </c>
      <c r="J521" s="163">
        <f>IF(G521&gt;=Datos!$D$14,(Datos!$D$14*Datos!$C$14),IF(G521&lt;=Datos!$D$14,(G521*Datos!$C$14)))</f>
        <v>2083.62</v>
      </c>
      <c r="K521" s="164">
        <f>IF((G521-J521-L521)&lt;=Datos!$G$7,"0",IF((G521-J521-L521)&lt;=Datos!$G$8,((G521-J521-L521)-Datos!$F$8)*Datos!$I$6,IF((G521-J521-L521)&lt;=Datos!$G$9,Datos!$I$8+((G521-J521-L521)-Datos!$F$9)*Datos!$J$6,IF((G521-J521-L521)&gt;=Datos!$F$10,(Datos!$I$8+Datos!$J$8)+((G521-J521-L521)-Datos!$F$10)*Datos!$K$6))))</f>
        <v>5857.743666666669</v>
      </c>
      <c r="L521" s="163">
        <f>IF(G521&gt;=Datos!$D$15,(Datos!$D$15*Datos!$C$15),IF(G521&lt;=Datos!$D$15,(G521*Datos!$C$15)))</f>
        <v>2207.04</v>
      </c>
      <c r="M521" s="162">
        <v>25</v>
      </c>
      <c r="N521" s="162">
        <f t="shared" si="445"/>
        <v>10173.403666666669</v>
      </c>
      <c r="O521" s="191">
        <f t="shared" si="446"/>
        <v>62426.596333333335</v>
      </c>
    </row>
    <row r="522" spans="1:15" ht="36.75" customHeight="1" x14ac:dyDescent="0.2">
      <c r="A522" s="225">
        <v>424</v>
      </c>
      <c r="B522" s="247" t="s">
        <v>339</v>
      </c>
      <c r="C522" s="227" t="s">
        <v>332</v>
      </c>
      <c r="D522" s="137" t="s">
        <v>944</v>
      </c>
      <c r="E522" s="228" t="s">
        <v>280</v>
      </c>
      <c r="F522" s="228" t="s">
        <v>19</v>
      </c>
      <c r="G522" s="162">
        <v>100000</v>
      </c>
      <c r="H522" s="162">
        <v>0</v>
      </c>
      <c r="I522" s="162">
        <f t="shared" si="440"/>
        <v>100000</v>
      </c>
      <c r="J522" s="163">
        <f>IF(G522&gt;=Datos!$D$14,(Datos!$D$14*Datos!$C$14),IF(G522&lt;=Datos!$D$14,(G522*Datos!$C$14)))</f>
        <v>2870</v>
      </c>
      <c r="K522" s="164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12105.360666666667</v>
      </c>
      <c r="L522" s="163">
        <f>IF(G522&gt;=Datos!$D$15,(Datos!$D$15*Datos!$C$15),IF(G522&lt;=Datos!$D$15,(G522*Datos!$C$15)))</f>
        <v>3040</v>
      </c>
      <c r="M522" s="162">
        <v>10025</v>
      </c>
      <c r="N522" s="162">
        <f t="shared" ref="N522" si="447">SUM(J522:M522)</f>
        <v>28040.360666666667</v>
      </c>
      <c r="O522" s="191">
        <f t="shared" ref="O522" si="448">+G522-N522</f>
        <v>71959.639333333325</v>
      </c>
    </row>
    <row r="523" spans="1:15" ht="36.75" customHeight="1" x14ac:dyDescent="0.2">
      <c r="A523" s="225">
        <v>425</v>
      </c>
      <c r="B523" s="247" t="s">
        <v>336</v>
      </c>
      <c r="C523" s="227" t="s">
        <v>332</v>
      </c>
      <c r="D523" s="137" t="s">
        <v>452</v>
      </c>
      <c r="E523" s="228" t="s">
        <v>280</v>
      </c>
      <c r="F523" s="228" t="s">
        <v>19</v>
      </c>
      <c r="G523" s="162">
        <v>35000</v>
      </c>
      <c r="H523" s="162">
        <v>0</v>
      </c>
      <c r="I523" s="162">
        <f t="shared" ref="I523:I529" si="449">SUM(G523:H523)</f>
        <v>35000</v>
      </c>
      <c r="J523" s="163">
        <f>IF(G523&gt;=Datos!$D$14,(Datos!$D$14*Datos!$C$14),IF(G523&lt;=Datos!$D$14,(G523*Datos!$C$14)))</f>
        <v>1004.5</v>
      </c>
      <c r="K523" s="164" t="str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0</v>
      </c>
      <c r="L523" s="163">
        <f>IF(G523&gt;=Datos!$D$15,(Datos!$D$15*Datos!$C$15),IF(G523&lt;=Datos!$D$15,(G523*Datos!$C$15)))</f>
        <v>1064</v>
      </c>
      <c r="M523" s="162">
        <v>25</v>
      </c>
      <c r="N523" s="162">
        <f t="shared" ref="N523:N529" si="450">SUM(J523:M523)</f>
        <v>2093.5</v>
      </c>
      <c r="O523" s="191">
        <f t="shared" ref="O523:O529" si="451">+G523-N523</f>
        <v>32906.5</v>
      </c>
    </row>
    <row r="524" spans="1:15" ht="36.75" customHeight="1" x14ac:dyDescent="0.2">
      <c r="A524" s="225">
        <v>426</v>
      </c>
      <c r="B524" s="247" t="s">
        <v>929</v>
      </c>
      <c r="C524" s="227" t="s">
        <v>332</v>
      </c>
      <c r="D524" s="137" t="s">
        <v>1048</v>
      </c>
      <c r="E524" s="228" t="s">
        <v>280</v>
      </c>
      <c r="F524" s="228" t="s">
        <v>19</v>
      </c>
      <c r="G524" s="162">
        <v>80000</v>
      </c>
      <c r="H524" s="162">
        <v>0</v>
      </c>
      <c r="I524" s="162">
        <f t="shared" si="449"/>
        <v>80000</v>
      </c>
      <c r="J524" s="163">
        <f>IF(G524&gt;=Datos!$D$14,(Datos!$D$14*Datos!$C$14),IF(G524&lt;=Datos!$D$14,(G524*Datos!$C$14)))</f>
        <v>2296</v>
      </c>
      <c r="K524" s="164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7400.8606666666674</v>
      </c>
      <c r="L524" s="163">
        <f>IF(G524&gt;=Datos!$D$15,(Datos!$D$15*Datos!$C$15),IF(G524&lt;=Datos!$D$15,(G524*Datos!$C$15)))</f>
        <v>2432</v>
      </c>
      <c r="M524" s="162">
        <v>25</v>
      </c>
      <c r="N524" s="162">
        <f t="shared" si="450"/>
        <v>12153.860666666667</v>
      </c>
      <c r="O524" s="191">
        <f t="shared" si="451"/>
        <v>67846.139333333325</v>
      </c>
    </row>
    <row r="525" spans="1:15" ht="36.75" customHeight="1" x14ac:dyDescent="0.2">
      <c r="A525" s="225">
        <v>427</v>
      </c>
      <c r="B525" s="227" t="s">
        <v>70</v>
      </c>
      <c r="C525" s="227" t="s">
        <v>332</v>
      </c>
      <c r="D525" s="99" t="s">
        <v>452</v>
      </c>
      <c r="E525" s="228" t="s">
        <v>280</v>
      </c>
      <c r="F525" s="228" t="s">
        <v>281</v>
      </c>
      <c r="G525" s="162">
        <v>35000</v>
      </c>
      <c r="H525" s="162">
        <v>0</v>
      </c>
      <c r="I525" s="162">
        <f t="shared" si="449"/>
        <v>35000</v>
      </c>
      <c r="J525" s="163">
        <f>IF(G525&gt;=Datos!$D$14,(Datos!$D$14*Datos!$C$14),IF(G525&lt;=Datos!$D$14,(G525*Datos!$C$14)))</f>
        <v>1004.5</v>
      </c>
      <c r="K525" s="164" t="str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0</v>
      </c>
      <c r="L525" s="163">
        <f>IF(G525&gt;=Datos!$D$15,(Datos!$D$15*Datos!$C$15),IF(G525&lt;=Datos!$D$15,(G525*Datos!$C$15)))</f>
        <v>1064</v>
      </c>
      <c r="M525" s="162">
        <v>25</v>
      </c>
      <c r="N525" s="162">
        <f t="shared" si="450"/>
        <v>2093.5</v>
      </c>
      <c r="O525" s="191">
        <f t="shared" si="451"/>
        <v>32906.5</v>
      </c>
    </row>
    <row r="526" spans="1:15" ht="36.75" customHeight="1" x14ac:dyDescent="0.2">
      <c r="A526" s="225">
        <v>428</v>
      </c>
      <c r="B526" s="227" t="s">
        <v>1039</v>
      </c>
      <c r="C526" s="227" t="s">
        <v>332</v>
      </c>
      <c r="D526" s="99" t="s">
        <v>452</v>
      </c>
      <c r="E526" s="228" t="s">
        <v>280</v>
      </c>
      <c r="F526" s="228" t="s">
        <v>281</v>
      </c>
      <c r="G526" s="162">
        <v>35000</v>
      </c>
      <c r="H526" s="162">
        <v>0</v>
      </c>
      <c r="I526" s="162">
        <f t="shared" si="449"/>
        <v>35000</v>
      </c>
      <c r="J526" s="163">
        <f>IF(G526&gt;=Datos!$D$14,(Datos!$D$14*Datos!$C$14),IF(G526&lt;=Datos!$D$14,(G526*Datos!$C$14)))</f>
        <v>1004.5</v>
      </c>
      <c r="K526" s="164" t="str">
        <f>IF((G526-J526-L526)&lt;=Datos!$G$7,"0",IF((G526-J526-L526)&lt;=Datos!$G$8,((G526-J526-L526)-Datos!$F$8)*Datos!$I$6,IF((G526-J526-L526)&lt;=Datos!$G$9,Datos!$I$8+((G526-J526-L526)-Datos!$F$9)*Datos!$J$6,IF((G526-J526-L526)&gt;=Datos!$F$10,(Datos!$I$8+Datos!$J$8)+((G526-J526-L526)-Datos!$F$10)*Datos!$K$6))))</f>
        <v>0</v>
      </c>
      <c r="L526" s="163">
        <f>IF(G526&gt;=Datos!$D$15,(Datos!$D$15*Datos!$C$15),IF(G526&lt;=Datos!$D$15,(G526*Datos!$C$15)))</f>
        <v>1064</v>
      </c>
      <c r="M526" s="162">
        <v>25</v>
      </c>
      <c r="N526" s="162">
        <f t="shared" si="450"/>
        <v>2093.5</v>
      </c>
      <c r="O526" s="191">
        <f t="shared" si="451"/>
        <v>32906.5</v>
      </c>
    </row>
    <row r="527" spans="1:15" ht="36.75" customHeight="1" x14ac:dyDescent="0.2">
      <c r="A527" s="225">
        <v>429</v>
      </c>
      <c r="B527" s="247" t="s">
        <v>338</v>
      </c>
      <c r="C527" s="227" t="s">
        <v>332</v>
      </c>
      <c r="D527" s="137" t="s">
        <v>710</v>
      </c>
      <c r="E527" s="228" t="s">
        <v>280</v>
      </c>
      <c r="F527" s="228" t="s">
        <v>19</v>
      </c>
      <c r="G527" s="162">
        <v>72600</v>
      </c>
      <c r="H527" s="162">
        <v>0</v>
      </c>
      <c r="I527" s="162">
        <f t="shared" si="449"/>
        <v>72600</v>
      </c>
      <c r="J527" s="163">
        <f>IF(G527&gt;=Datos!$D$14,(Datos!$D$14*Datos!$C$14),IF(G527&lt;=Datos!$D$14,(G527*Datos!$C$14)))</f>
        <v>2083.62</v>
      </c>
      <c r="K527" s="164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5857.743666666669</v>
      </c>
      <c r="L527" s="163">
        <f>IF(G527&gt;=Datos!$D$15,(Datos!$D$15*Datos!$C$15),IF(G527&lt;=Datos!$D$15,(G527*Datos!$C$15)))</f>
        <v>2207.04</v>
      </c>
      <c r="M527" s="162">
        <v>25</v>
      </c>
      <c r="N527" s="162">
        <f t="shared" si="450"/>
        <v>10173.403666666669</v>
      </c>
      <c r="O527" s="191">
        <f t="shared" si="451"/>
        <v>62426.596333333335</v>
      </c>
    </row>
    <row r="528" spans="1:15" ht="36.75" customHeight="1" x14ac:dyDescent="0.2">
      <c r="A528" s="225">
        <v>430</v>
      </c>
      <c r="B528" s="247" t="s">
        <v>132</v>
      </c>
      <c r="C528" s="227" t="s">
        <v>332</v>
      </c>
      <c r="D528" s="137" t="s">
        <v>288</v>
      </c>
      <c r="E528" s="228" t="s">
        <v>280</v>
      </c>
      <c r="F528" s="228" t="s">
        <v>19</v>
      </c>
      <c r="G528" s="162">
        <v>91046.81</v>
      </c>
      <c r="H528" s="162">
        <v>0</v>
      </c>
      <c r="I528" s="162">
        <f t="shared" si="449"/>
        <v>91046.81</v>
      </c>
      <c r="J528" s="163">
        <f>IF(G528&gt;=Datos!$D$14,(Datos!$D$14*Datos!$C$14),IF(G528&lt;=Datos!$D$14,(G528*Datos!$C$14)))</f>
        <v>2613.043447</v>
      </c>
      <c r="K528" s="164">
        <v>9570.49</v>
      </c>
      <c r="L528" s="163">
        <f>IF(G528&gt;=Datos!$D$15,(Datos!$D$15*Datos!$C$15),IF(G528&lt;=Datos!$D$15,(G528*Datos!$C$15)))</f>
        <v>2767.8230239999998</v>
      </c>
      <c r="M528" s="162">
        <v>1740.46</v>
      </c>
      <c r="N528" s="162">
        <f t="shared" si="450"/>
        <v>16691.816470999998</v>
      </c>
      <c r="O528" s="191">
        <f t="shared" si="451"/>
        <v>74354.993528999999</v>
      </c>
    </row>
    <row r="529" spans="1:15" ht="36.75" customHeight="1" x14ac:dyDescent="0.2">
      <c r="A529" s="225">
        <v>431</v>
      </c>
      <c r="B529" s="247" t="s">
        <v>839</v>
      </c>
      <c r="C529" s="227" t="s">
        <v>332</v>
      </c>
      <c r="D529" s="137" t="s">
        <v>288</v>
      </c>
      <c r="E529" s="228" t="s">
        <v>280</v>
      </c>
      <c r="F529" s="228" t="s">
        <v>19</v>
      </c>
      <c r="G529" s="162">
        <v>72600</v>
      </c>
      <c r="H529" s="162">
        <v>0</v>
      </c>
      <c r="I529" s="162">
        <f t="shared" si="449"/>
        <v>72600</v>
      </c>
      <c r="J529" s="163">
        <f>IF(G529&gt;=Datos!$D$14,(Datos!$D$14*Datos!$C$14),IF(G529&lt;=Datos!$D$14,(G529*Datos!$C$14)))</f>
        <v>2083.62</v>
      </c>
      <c r="K529" s="164">
        <f>IF((G529-J529-L529)&lt;=Datos!$G$7,"0",IF((G529-J529-L529)&lt;=Datos!$G$8,((G529-J529-L529)-Datos!$F$8)*Datos!$I$6,IF((G529-J529-L529)&lt;=Datos!$G$9,Datos!$I$8+((G529-J529-L529)-Datos!$F$9)*Datos!$J$6,IF((G529-J529-L529)&gt;=Datos!$F$10,(Datos!$I$8+Datos!$J$8)+((G529-J529-L529)-Datos!$F$10)*Datos!$K$6))))</f>
        <v>5857.743666666669</v>
      </c>
      <c r="L529" s="163">
        <f>IF(G529&gt;=Datos!$D$15,(Datos!$D$15*Datos!$C$15),IF(G529&lt;=Datos!$D$15,(G529*Datos!$C$15)))</f>
        <v>2207.04</v>
      </c>
      <c r="M529" s="162">
        <v>25</v>
      </c>
      <c r="N529" s="162">
        <f t="shared" si="450"/>
        <v>10173.403666666669</v>
      </c>
      <c r="O529" s="191">
        <f t="shared" si="451"/>
        <v>62426.596333333335</v>
      </c>
    </row>
    <row r="530" spans="1:15" s="234" customFormat="1" ht="36.75" customHeight="1" x14ac:dyDescent="0.2">
      <c r="A530" s="277" t="s">
        <v>455</v>
      </c>
      <c r="B530" s="302"/>
      <c r="C530" s="252">
        <v>27</v>
      </c>
      <c r="D530" s="252"/>
      <c r="E530" s="253"/>
      <c r="F530" s="254"/>
      <c r="G530" s="167">
        <f t="shared" ref="G530:O530" si="452">SUM(G503:G529)</f>
        <v>1738279.31</v>
      </c>
      <c r="H530" s="167">
        <f t="shared" si="452"/>
        <v>0</v>
      </c>
      <c r="I530" s="167">
        <f t="shared" si="452"/>
        <v>1738279.31</v>
      </c>
      <c r="J530" s="167">
        <f t="shared" si="452"/>
        <v>49888.616197000003</v>
      </c>
      <c r="K530" s="167">
        <f t="shared" si="452"/>
        <v>128796.49758333337</v>
      </c>
      <c r="L530" s="167">
        <f t="shared" si="452"/>
        <v>52843.691024</v>
      </c>
      <c r="M530" s="167">
        <f t="shared" si="452"/>
        <v>27131.149999999998</v>
      </c>
      <c r="N530" s="167">
        <f t="shared" si="452"/>
        <v>258659.95480433339</v>
      </c>
      <c r="O530" s="167">
        <f t="shared" si="452"/>
        <v>1479619.3551956667</v>
      </c>
    </row>
    <row r="531" spans="1:15" ht="36.75" customHeight="1" x14ac:dyDescent="0.2">
      <c r="A531" s="277" t="s">
        <v>460</v>
      </c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9"/>
    </row>
    <row r="532" spans="1:15" ht="36.75" customHeight="1" x14ac:dyDescent="0.2">
      <c r="A532" s="225">
        <v>432</v>
      </c>
      <c r="B532" s="227" t="s">
        <v>224</v>
      </c>
      <c r="C532" s="227" t="s">
        <v>412</v>
      </c>
      <c r="D532" s="99" t="s">
        <v>403</v>
      </c>
      <c r="E532" s="228" t="s">
        <v>280</v>
      </c>
      <c r="F532" s="228" t="s">
        <v>19</v>
      </c>
      <c r="G532" s="162">
        <v>145000</v>
      </c>
      <c r="H532" s="162">
        <v>0</v>
      </c>
      <c r="I532" s="162">
        <f>SUM(G532:H532)</f>
        <v>145000</v>
      </c>
      <c r="J532" s="163">
        <f>IF(G532&gt;=Datos!$D$14,(Datos!$D$14*Datos!$C$14),IF(G532&lt;=Datos!$D$14,(G532*Datos!$C$14)))</f>
        <v>4161.5</v>
      </c>
      <c r="K532" s="164">
        <v>22261.63</v>
      </c>
      <c r="L532" s="163">
        <f>IF(G532&gt;=Datos!$D$15,(Datos!$D$15*Datos!$C$15),IF(G532&lt;=Datos!$D$15,(G532*Datos!$C$15)))</f>
        <v>4408</v>
      </c>
      <c r="M532" s="162">
        <v>1740.46</v>
      </c>
      <c r="N532" s="162">
        <f>SUM(J532:M532)</f>
        <v>32571.59</v>
      </c>
      <c r="O532" s="191">
        <f>+G532-N532</f>
        <v>112428.41</v>
      </c>
    </row>
    <row r="533" spans="1:15" s="234" customFormat="1" ht="36.75" customHeight="1" x14ac:dyDescent="0.2">
      <c r="A533" s="277" t="s">
        <v>455</v>
      </c>
      <c r="B533" s="278"/>
      <c r="C533" s="232">
        <v>1</v>
      </c>
      <c r="D533" s="232"/>
      <c r="E533" s="233"/>
      <c r="F533" s="166"/>
      <c r="G533" s="167">
        <f t="shared" ref="G533:O533" si="453">SUM(G532:G532)</f>
        <v>145000</v>
      </c>
      <c r="H533" s="248">
        <f t="shared" si="453"/>
        <v>0</v>
      </c>
      <c r="I533" s="248">
        <f t="shared" si="453"/>
        <v>145000</v>
      </c>
      <c r="J533" s="248">
        <f t="shared" si="453"/>
        <v>4161.5</v>
      </c>
      <c r="K533" s="213">
        <f t="shared" si="453"/>
        <v>22261.63</v>
      </c>
      <c r="L533" s="248">
        <f t="shared" si="453"/>
        <v>4408</v>
      </c>
      <c r="M533" s="248">
        <f t="shared" si="453"/>
        <v>1740.46</v>
      </c>
      <c r="N533" s="249">
        <f t="shared" si="453"/>
        <v>32571.59</v>
      </c>
      <c r="O533" s="250">
        <f t="shared" si="453"/>
        <v>112428.41</v>
      </c>
    </row>
    <row r="534" spans="1:15" ht="36.75" customHeight="1" x14ac:dyDescent="0.2">
      <c r="A534" s="277" t="s">
        <v>931</v>
      </c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9"/>
    </row>
    <row r="535" spans="1:15" ht="36.75" customHeight="1" x14ac:dyDescent="0.2">
      <c r="A535" s="225">
        <v>433</v>
      </c>
      <c r="B535" s="227" t="s">
        <v>930</v>
      </c>
      <c r="C535" s="227" t="s">
        <v>286</v>
      </c>
      <c r="D535" s="99" t="s">
        <v>452</v>
      </c>
      <c r="E535" s="228" t="s">
        <v>280</v>
      </c>
      <c r="F535" s="228" t="s">
        <v>19</v>
      </c>
      <c r="G535" s="162">
        <f>26000+9000</f>
        <v>35000</v>
      </c>
      <c r="H535" s="162">
        <v>0</v>
      </c>
      <c r="I535" s="162">
        <f>SUM(G535:H535)</f>
        <v>35000</v>
      </c>
      <c r="J535" s="163">
        <f>IF(G535&gt;=Datos!$D$14,(Datos!$D$14*Datos!$C$14),IF(G535&lt;=Datos!$D$14,(G535*Datos!$C$14)))</f>
        <v>1004.5</v>
      </c>
      <c r="K535" s="164" t="str">
        <f>IF((G535-J535-L535)&lt;=Datos!$G$7,"0",IF((G535-J535-L535)&lt;=Datos!$G$8,((G535-J535-L535)-Datos!$F$8)*Datos!$I$6,IF((G535-J535-L535)&lt;=Datos!$G$9,Datos!$I$8+((G535-J535-L535)-Datos!$F$9)*Datos!$J$6,IF((G535-J535-L535)&gt;=Datos!$F$10,(Datos!$I$8+Datos!$J$8)+((G535-J535-L535)-Datos!$F$10)*Datos!$K$6))))</f>
        <v>0</v>
      </c>
      <c r="L535" s="163">
        <f>IF(G535&gt;=Datos!$D$15,(Datos!$D$15*Datos!$C$15),IF(G535&lt;=Datos!$D$15,(G535*Datos!$C$15)))</f>
        <v>1064</v>
      </c>
      <c r="M535" s="162">
        <v>25</v>
      </c>
      <c r="N535" s="162">
        <f>SUM(J535:M535)</f>
        <v>2093.5</v>
      </c>
      <c r="O535" s="191">
        <f>+G535-N535</f>
        <v>32906.5</v>
      </c>
    </row>
    <row r="536" spans="1:15" s="234" customFormat="1" ht="36.75" customHeight="1" x14ac:dyDescent="0.2">
      <c r="A536" s="277" t="s">
        <v>455</v>
      </c>
      <c r="B536" s="278"/>
      <c r="C536" s="232">
        <v>1</v>
      </c>
      <c r="D536" s="232"/>
      <c r="E536" s="233"/>
      <c r="F536" s="166"/>
      <c r="G536" s="167">
        <f t="shared" ref="G536:O536" si="454">SUM(G535:G535)</f>
        <v>35000</v>
      </c>
      <c r="H536" s="248">
        <f t="shared" si="454"/>
        <v>0</v>
      </c>
      <c r="I536" s="248">
        <f t="shared" si="454"/>
        <v>35000</v>
      </c>
      <c r="J536" s="248">
        <f t="shared" si="454"/>
        <v>1004.5</v>
      </c>
      <c r="K536" s="213">
        <f t="shared" si="454"/>
        <v>0</v>
      </c>
      <c r="L536" s="248">
        <f t="shared" si="454"/>
        <v>1064</v>
      </c>
      <c r="M536" s="248">
        <f t="shared" si="454"/>
        <v>25</v>
      </c>
      <c r="N536" s="249">
        <f t="shared" si="454"/>
        <v>2093.5</v>
      </c>
      <c r="O536" s="250">
        <f t="shared" si="454"/>
        <v>32906.5</v>
      </c>
    </row>
    <row r="537" spans="1:15" ht="36.75" customHeight="1" x14ac:dyDescent="0.2">
      <c r="A537" s="277" t="s">
        <v>483</v>
      </c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9"/>
    </row>
    <row r="538" spans="1:15" ht="36.75" customHeight="1" x14ac:dyDescent="0.2">
      <c r="A538" s="225">
        <v>434</v>
      </c>
      <c r="B538" s="227" t="s">
        <v>615</v>
      </c>
      <c r="C538" s="227" t="s">
        <v>284</v>
      </c>
      <c r="D538" s="99" t="s">
        <v>310</v>
      </c>
      <c r="E538" s="228" t="s">
        <v>280</v>
      </c>
      <c r="F538" s="228" t="s">
        <v>19</v>
      </c>
      <c r="G538" s="162">
        <v>72600</v>
      </c>
      <c r="H538" s="162">
        <v>0</v>
      </c>
      <c r="I538" s="162">
        <f t="shared" ref="I538:I579" si="455">SUM(G538:H538)</f>
        <v>72600</v>
      </c>
      <c r="J538" s="163">
        <f>IF(G538&gt;=Datos!$D$14,(Datos!$D$14*Datos!$C$14),IF(G538&lt;=Datos!$D$14,(G538*Datos!$C$14)))</f>
        <v>2083.62</v>
      </c>
      <c r="K538" s="164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5857.743666666669</v>
      </c>
      <c r="L538" s="163">
        <f>IF(G538&gt;=Datos!$D$15,(Datos!$D$15*Datos!$C$15),IF(G538&lt;=Datos!$D$15,(G538*Datos!$C$15)))</f>
        <v>2207.04</v>
      </c>
      <c r="M538" s="162">
        <v>25</v>
      </c>
      <c r="N538" s="162">
        <f t="shared" ref="N538:N563" si="456">SUM(J538:M538)</f>
        <v>10173.403666666669</v>
      </c>
      <c r="O538" s="191">
        <f t="shared" ref="O538:O563" si="457">+G538-N538</f>
        <v>62426.596333333335</v>
      </c>
    </row>
    <row r="539" spans="1:15" ht="36.75" customHeight="1" x14ac:dyDescent="0.2">
      <c r="A539" s="225">
        <v>435</v>
      </c>
      <c r="B539" s="227" t="s">
        <v>616</v>
      </c>
      <c r="C539" s="227" t="s">
        <v>284</v>
      </c>
      <c r="D539" s="99" t="s">
        <v>607</v>
      </c>
      <c r="E539" s="228" t="s">
        <v>280</v>
      </c>
      <c r="F539" s="228" t="s">
        <v>19</v>
      </c>
      <c r="G539" s="162">
        <v>72600</v>
      </c>
      <c r="H539" s="162">
        <v>0</v>
      </c>
      <c r="I539" s="162">
        <f t="shared" si="455"/>
        <v>72600</v>
      </c>
      <c r="J539" s="163">
        <f>IF(G539&gt;=Datos!$D$14,(Datos!$D$14*Datos!$C$14),IF(G539&lt;=Datos!$D$14,(G539*Datos!$C$14)))</f>
        <v>2083.62</v>
      </c>
      <c r="K539" s="164">
        <f>IF((G539-J539-L539)&lt;=Datos!$G$7,"0",IF((G539-J539-L539)&lt;=Datos!$G$8,((G539-J539-L539)-Datos!$F$8)*Datos!$I$6,IF((G539-J539-L539)&lt;=Datos!$G$9,Datos!$I$8+((G539-J539-L539)-Datos!$F$9)*Datos!$J$6,IF((G539-J539-L539)&gt;=Datos!$F$10,(Datos!$I$8+Datos!$J$8)+((G539-J539-L539)-Datos!$F$10)*Datos!$K$6))))</f>
        <v>5857.743666666669</v>
      </c>
      <c r="L539" s="163">
        <f>IF(G539&gt;=Datos!$D$15,(Datos!$D$15*Datos!$C$15),IF(G539&lt;=Datos!$D$15,(G539*Datos!$C$15)))</f>
        <v>2207.04</v>
      </c>
      <c r="M539" s="162">
        <v>25</v>
      </c>
      <c r="N539" s="162">
        <f t="shared" si="456"/>
        <v>10173.403666666669</v>
      </c>
      <c r="O539" s="191">
        <f t="shared" si="457"/>
        <v>62426.596333333335</v>
      </c>
    </row>
    <row r="540" spans="1:15" ht="36.75" customHeight="1" x14ac:dyDescent="0.2">
      <c r="A540" s="225">
        <v>436</v>
      </c>
      <c r="B540" s="227" t="s">
        <v>617</v>
      </c>
      <c r="C540" s="227" t="s">
        <v>284</v>
      </c>
      <c r="D540" s="99" t="s">
        <v>452</v>
      </c>
      <c r="E540" s="228" t="s">
        <v>280</v>
      </c>
      <c r="F540" s="228" t="s">
        <v>19</v>
      </c>
      <c r="G540" s="162">
        <v>35000</v>
      </c>
      <c r="H540" s="162">
        <v>0</v>
      </c>
      <c r="I540" s="162">
        <f t="shared" si="455"/>
        <v>35000</v>
      </c>
      <c r="J540" s="163">
        <f>IF(G540&gt;=Datos!$D$14,(Datos!$D$14*Datos!$C$14),IF(G540&lt;=Datos!$D$14,(G540*Datos!$C$14)))</f>
        <v>1004.5</v>
      </c>
      <c r="K540" s="164" t="str">
        <f>IF((G540-J540-L540)&lt;=Datos!$G$7,"0",IF((G540-J540-L540)&lt;=Datos!$G$8,((G540-J540-L540)-Datos!$F$8)*Datos!$I$6,IF((G540-J540-L540)&lt;=Datos!$G$9,Datos!$I$8+((G540-J540-L540)-Datos!$F$9)*Datos!$J$6,IF((G540-J540-L540)&gt;=Datos!$F$10,(Datos!$I$8+Datos!$J$8)+((G540-J540-L540)-Datos!$F$10)*Datos!$K$6))))</f>
        <v>0</v>
      </c>
      <c r="L540" s="163">
        <f>IF(G540&gt;=Datos!$D$15,(Datos!$D$15*Datos!$C$15),IF(G540&lt;=Datos!$D$15,(G540*Datos!$C$15)))</f>
        <v>1064</v>
      </c>
      <c r="M540" s="162">
        <v>25</v>
      </c>
      <c r="N540" s="162">
        <f t="shared" si="456"/>
        <v>2093.5</v>
      </c>
      <c r="O540" s="191">
        <f t="shared" si="457"/>
        <v>32906.5</v>
      </c>
    </row>
    <row r="541" spans="1:15" ht="36.75" customHeight="1" x14ac:dyDescent="0.2">
      <c r="A541" s="225">
        <v>437</v>
      </c>
      <c r="B541" s="227" t="s">
        <v>676</v>
      </c>
      <c r="C541" s="227" t="s">
        <v>284</v>
      </c>
      <c r="D541" s="99" t="s">
        <v>1058</v>
      </c>
      <c r="E541" s="228" t="s">
        <v>280</v>
      </c>
      <c r="F541" s="228" t="s">
        <v>19</v>
      </c>
      <c r="G541" s="162">
        <v>80000</v>
      </c>
      <c r="H541" s="162">
        <v>0</v>
      </c>
      <c r="I541" s="162">
        <f t="shared" si="455"/>
        <v>80000</v>
      </c>
      <c r="J541" s="163">
        <f>IF(G541&gt;=Datos!$D$14,(Datos!$D$14*Datos!$C$14),IF(G541&lt;=Datos!$D$14,(G541*Datos!$C$14)))</f>
        <v>2296</v>
      </c>
      <c r="K541" s="164">
        <f>IF((G541-J541-L541)&lt;=Datos!$G$7,"0",IF((G541-J541-L541)&lt;=Datos!$G$8,((G541-J541-L541)-Datos!$F$8)*Datos!$I$6,IF((G541-J541-L541)&lt;=Datos!$G$9,Datos!$I$8+((G541-J541-L541)-Datos!$F$9)*Datos!$J$6,IF((G541-J541-L541)&gt;=Datos!$F$10,(Datos!$I$8+Datos!$J$8)+((G541-J541-L541)-Datos!$F$10)*Datos!$K$6))))</f>
        <v>7400.8606666666674</v>
      </c>
      <c r="L541" s="163">
        <f>IF(G541&gt;=Datos!$D$15,(Datos!$D$15*Datos!$C$15),IF(G541&lt;=Datos!$D$15,(G541*Datos!$C$15)))</f>
        <v>2432</v>
      </c>
      <c r="M541" s="162">
        <v>25</v>
      </c>
      <c r="N541" s="162">
        <f t="shared" ref="N541:N555" si="458">SUM(J541:M541)</f>
        <v>12153.860666666667</v>
      </c>
      <c r="O541" s="191">
        <f t="shared" ref="O541:O555" si="459">+G541-N541</f>
        <v>67846.139333333325</v>
      </c>
    </row>
    <row r="542" spans="1:15" ht="36.75" customHeight="1" x14ac:dyDescent="0.2">
      <c r="A542" s="225">
        <v>438</v>
      </c>
      <c r="B542" s="227" t="s">
        <v>691</v>
      </c>
      <c r="C542" s="227" t="s">
        <v>284</v>
      </c>
      <c r="D542" s="99" t="s">
        <v>452</v>
      </c>
      <c r="E542" s="228" t="s">
        <v>280</v>
      </c>
      <c r="F542" s="228" t="s">
        <v>19</v>
      </c>
      <c r="G542" s="162">
        <v>35000</v>
      </c>
      <c r="H542" s="162">
        <v>0</v>
      </c>
      <c r="I542" s="162">
        <f t="shared" si="455"/>
        <v>35000</v>
      </c>
      <c r="J542" s="163">
        <f>IF(G542&gt;=Datos!$D$14,(Datos!$D$14*Datos!$C$14),IF(G542&lt;=Datos!$D$14,(G542*Datos!$C$14)))</f>
        <v>1004.5</v>
      </c>
      <c r="K542" s="164" t="str">
        <f>IF((G542-J542-L542)&lt;=Datos!$G$7,"0",IF((G542-J542-L542)&lt;=Datos!$G$8,((G542-J542-L542)-Datos!$F$8)*Datos!$I$6,IF((G542-J542-L542)&lt;=Datos!$G$9,Datos!$I$8+((G542-J542-L542)-Datos!$F$9)*Datos!$J$6,IF((G542-J542-L542)&gt;=Datos!$F$10,(Datos!$I$8+Datos!$J$8)+((G542-J542-L542)-Datos!$F$10)*Datos!$K$6))))</f>
        <v>0</v>
      </c>
      <c r="L542" s="163">
        <f>IF(G542&gt;=Datos!$D$15,(Datos!$D$15*Datos!$C$15),IF(G542&lt;=Datos!$D$15,(G542*Datos!$C$15)))</f>
        <v>1064</v>
      </c>
      <c r="M542" s="162">
        <v>25</v>
      </c>
      <c r="N542" s="162">
        <f t="shared" ref="N542:N548" si="460">SUM(J542:M542)</f>
        <v>2093.5</v>
      </c>
      <c r="O542" s="191">
        <f t="shared" ref="O542:O548" si="461">+G542-N542</f>
        <v>32906.5</v>
      </c>
    </row>
    <row r="543" spans="1:15" ht="36.75" customHeight="1" x14ac:dyDescent="0.2">
      <c r="A543" s="225">
        <v>439</v>
      </c>
      <c r="B543" s="227" t="s">
        <v>932</v>
      </c>
      <c r="C543" s="227" t="s">
        <v>284</v>
      </c>
      <c r="D543" s="99" t="s">
        <v>710</v>
      </c>
      <c r="E543" s="228" t="s">
        <v>280</v>
      </c>
      <c r="F543" s="228" t="s">
        <v>19</v>
      </c>
      <c r="G543" s="162">
        <v>60000</v>
      </c>
      <c r="H543" s="162">
        <v>0</v>
      </c>
      <c r="I543" s="162">
        <f t="shared" ref="I543:I544" si="462">SUM(G543:H543)</f>
        <v>60000</v>
      </c>
      <c r="J543" s="163">
        <f>IF(G543&gt;=Datos!$D$14,(Datos!$D$14*Datos!$C$14),IF(G543&lt;=Datos!$D$14,(G543*Datos!$C$14)))</f>
        <v>1722</v>
      </c>
      <c r="K543" s="164">
        <f>IF((G543-J543-L543)&lt;=Datos!$G$7,"0",IF((G543-J543-L543)&lt;=Datos!$G$8,((G543-J543-L543)-Datos!$F$8)*Datos!$I$6,IF((G543-J543-L543)&lt;=Datos!$G$9,Datos!$I$8+((G543-J543-L543)-Datos!$F$9)*Datos!$J$6,IF((G543-J543-L543)&gt;=Datos!$F$10,(Datos!$I$8+Datos!$J$8)+((G543-J543-L543)-Datos!$F$10)*Datos!$K$6))))</f>
        <v>3486.6756666666661</v>
      </c>
      <c r="L543" s="163">
        <f>IF(G543&gt;=Datos!$D$15,(Datos!$D$15*Datos!$C$15),IF(G543&lt;=Datos!$D$15,(G543*Datos!$C$15)))</f>
        <v>1824</v>
      </c>
      <c r="M543" s="162">
        <v>25</v>
      </c>
      <c r="N543" s="162">
        <f t="shared" ref="N543:N544" si="463">SUM(J543:M543)</f>
        <v>7057.6756666666661</v>
      </c>
      <c r="O543" s="191">
        <f t="shared" ref="O543:O544" si="464">+G543-N543</f>
        <v>52942.324333333338</v>
      </c>
    </row>
    <row r="544" spans="1:15" ht="36.75" customHeight="1" x14ac:dyDescent="0.2">
      <c r="A544" s="225">
        <v>440</v>
      </c>
      <c r="B544" s="227" t="s">
        <v>933</v>
      </c>
      <c r="C544" s="227" t="s">
        <v>284</v>
      </c>
      <c r="D544" s="99" t="s">
        <v>452</v>
      </c>
      <c r="E544" s="228" t="s">
        <v>280</v>
      </c>
      <c r="F544" s="228" t="s">
        <v>19</v>
      </c>
      <c r="G544" s="162">
        <v>35000</v>
      </c>
      <c r="H544" s="162">
        <v>0</v>
      </c>
      <c r="I544" s="162">
        <f t="shared" si="462"/>
        <v>35000</v>
      </c>
      <c r="J544" s="163">
        <f>IF(G544&gt;=Datos!$D$14,(Datos!$D$14*Datos!$C$14),IF(G544&lt;=Datos!$D$14,(G544*Datos!$C$14)))</f>
        <v>1004.5</v>
      </c>
      <c r="K544" s="164" t="str">
        <f>IF((G544-J544-L544)&lt;=Datos!$G$7,"0",IF((G544-J544-L544)&lt;=Datos!$G$8,((G544-J544-L544)-Datos!$F$8)*Datos!$I$6,IF((G544-J544-L544)&lt;=Datos!$G$9,Datos!$I$8+((G544-J544-L544)-Datos!$F$9)*Datos!$J$6,IF((G544-J544-L544)&gt;=Datos!$F$10,(Datos!$I$8+Datos!$J$8)+((G544-J544-L544)-Datos!$F$10)*Datos!$K$6))))</f>
        <v>0</v>
      </c>
      <c r="L544" s="163">
        <f>IF(G544&gt;=Datos!$D$15,(Datos!$D$15*Datos!$C$15),IF(G544&lt;=Datos!$D$15,(G544*Datos!$C$15)))</f>
        <v>1064</v>
      </c>
      <c r="M544" s="162">
        <v>25</v>
      </c>
      <c r="N544" s="162">
        <f t="shared" si="463"/>
        <v>2093.5</v>
      </c>
      <c r="O544" s="191">
        <f t="shared" si="464"/>
        <v>32906.5</v>
      </c>
    </row>
    <row r="545" spans="1:15" ht="36.75" customHeight="1" x14ac:dyDescent="0.2">
      <c r="A545" s="225">
        <v>441</v>
      </c>
      <c r="B545" s="227" t="s">
        <v>846</v>
      </c>
      <c r="C545" s="227" t="s">
        <v>284</v>
      </c>
      <c r="D545" s="99" t="s">
        <v>622</v>
      </c>
      <c r="E545" s="228" t="s">
        <v>280</v>
      </c>
      <c r="F545" s="228" t="s">
        <v>281</v>
      </c>
      <c r="G545" s="162">
        <v>60000</v>
      </c>
      <c r="H545" s="162">
        <v>0</v>
      </c>
      <c r="I545" s="162">
        <f t="shared" ref="I545" si="465">SUM(G545:H545)</f>
        <v>60000</v>
      </c>
      <c r="J545" s="163">
        <f>IF(G545&gt;=Datos!$D$14,(Datos!$D$14*Datos!$C$14),IF(G545&lt;=Datos!$D$14,(G545*Datos!$C$14)))</f>
        <v>1722</v>
      </c>
      <c r="K545" s="164">
        <f>IF((G545-J545-L545)&lt;=Datos!$G$7,"0",IF((G545-J545-L545)&lt;=Datos!$G$8,((G545-J545-L545)-Datos!$F$8)*Datos!$I$6,IF((G545-J545-L545)&lt;=Datos!$G$9,Datos!$I$8+((G545-J545-L545)-Datos!$F$9)*Datos!$J$6,IF((G545-J545-L545)&gt;=Datos!$F$10,(Datos!$I$8+Datos!$J$8)+((G545-J545-L545)-Datos!$F$10)*Datos!$K$6))))</f>
        <v>3486.6756666666661</v>
      </c>
      <c r="L545" s="163">
        <f>IF(G545&gt;=Datos!$D$15,(Datos!$D$15*Datos!$C$15),IF(G545&lt;=Datos!$D$15,(G545*Datos!$C$15)))</f>
        <v>1824</v>
      </c>
      <c r="M545" s="162">
        <v>25</v>
      </c>
      <c r="N545" s="162">
        <f t="shared" ref="N545" si="466">SUM(J545:M545)</f>
        <v>7057.6756666666661</v>
      </c>
      <c r="O545" s="191">
        <f t="shared" ref="O545" si="467">+G545-N545</f>
        <v>52942.324333333338</v>
      </c>
    </row>
    <row r="546" spans="1:15" ht="36.75" customHeight="1" x14ac:dyDescent="0.2">
      <c r="A546" s="225">
        <v>442</v>
      </c>
      <c r="B546" s="227" t="s">
        <v>977</v>
      </c>
      <c r="C546" s="227" t="s">
        <v>284</v>
      </c>
      <c r="D546" s="99" t="s">
        <v>870</v>
      </c>
      <c r="E546" s="228" t="s">
        <v>280</v>
      </c>
      <c r="F546" s="228" t="s">
        <v>19</v>
      </c>
      <c r="G546" s="162">
        <v>60000</v>
      </c>
      <c r="H546" s="162">
        <v>0</v>
      </c>
      <c r="I546" s="162">
        <f t="shared" si="455"/>
        <v>60000</v>
      </c>
      <c r="J546" s="163">
        <f>IF(G546&gt;=Datos!$D$14,(Datos!$D$14*Datos!$C$14),IF(G546&lt;=Datos!$D$14,(G546*Datos!$C$14)))</f>
        <v>1722</v>
      </c>
      <c r="K546" s="164">
        <f>IF((G546-J546-L546)&lt;=Datos!$G$7,"0",IF((G546-J546-L546)&lt;=Datos!$G$8,((G546-J546-L546)-Datos!$F$8)*Datos!$I$6,IF((G546-J546-L546)&lt;=Datos!$G$9,Datos!$I$8+((G546-J546-L546)-Datos!$F$9)*Datos!$J$6,IF((G546-J546-L546)&gt;=Datos!$F$10,(Datos!$I$8+Datos!$J$8)+((G546-J546-L546)-Datos!$F$10)*Datos!$K$6))))</f>
        <v>3486.6756666666661</v>
      </c>
      <c r="L546" s="163">
        <f>IF(G546&gt;=Datos!$D$15,(Datos!$D$15*Datos!$C$15),IF(G546&lt;=Datos!$D$15,(G546*Datos!$C$15)))</f>
        <v>1824</v>
      </c>
      <c r="M546" s="162">
        <v>25</v>
      </c>
      <c r="N546" s="162">
        <f t="shared" si="460"/>
        <v>7057.6756666666661</v>
      </c>
      <c r="O546" s="191">
        <f t="shared" si="461"/>
        <v>52942.324333333338</v>
      </c>
    </row>
    <row r="547" spans="1:15" ht="36.75" customHeight="1" x14ac:dyDescent="0.2">
      <c r="A547" s="225">
        <v>443</v>
      </c>
      <c r="B547" s="227" t="s">
        <v>978</v>
      </c>
      <c r="C547" s="227" t="s">
        <v>284</v>
      </c>
      <c r="D547" s="99" t="s">
        <v>288</v>
      </c>
      <c r="E547" s="228" t="s">
        <v>280</v>
      </c>
      <c r="F547" s="228" t="s">
        <v>19</v>
      </c>
      <c r="G547" s="162">
        <v>60000</v>
      </c>
      <c r="H547" s="162">
        <v>0</v>
      </c>
      <c r="I547" s="162">
        <f t="shared" si="455"/>
        <v>60000</v>
      </c>
      <c r="J547" s="163">
        <f>IF(G547&gt;=Datos!$D$14,(Datos!$D$14*Datos!$C$14),IF(G547&lt;=Datos!$D$14,(G547*Datos!$C$14)))</f>
        <v>1722</v>
      </c>
      <c r="K547" s="164">
        <f>IF((G547-J547-L547)&lt;=Datos!$G$7,"0",IF((G547-J547-L547)&lt;=Datos!$G$8,((G547-J547-L547)-Datos!$F$8)*Datos!$I$6,IF((G547-J547-L547)&lt;=Datos!$G$9,Datos!$I$8+((G547-J547-L547)-Datos!$F$9)*Datos!$J$6,IF((G547-J547-L547)&gt;=Datos!$F$10,(Datos!$I$8+Datos!$J$8)+((G547-J547-L547)-Datos!$F$10)*Datos!$K$6))))</f>
        <v>3486.6756666666661</v>
      </c>
      <c r="L547" s="163">
        <f>IF(G547&gt;=Datos!$D$15,(Datos!$D$15*Datos!$C$15),IF(G547&lt;=Datos!$D$15,(G547*Datos!$C$15)))</f>
        <v>1824</v>
      </c>
      <c r="M547" s="162">
        <v>25</v>
      </c>
      <c r="N547" s="162">
        <f t="shared" si="460"/>
        <v>7057.6756666666661</v>
      </c>
      <c r="O547" s="191">
        <f t="shared" si="461"/>
        <v>52942.324333333338</v>
      </c>
    </row>
    <row r="548" spans="1:15" ht="36.75" customHeight="1" x14ac:dyDescent="0.2">
      <c r="A548" s="225">
        <v>444</v>
      </c>
      <c r="B548" s="227" t="s">
        <v>979</v>
      </c>
      <c r="C548" s="227" t="s">
        <v>284</v>
      </c>
      <c r="D548" s="99" t="s">
        <v>710</v>
      </c>
      <c r="E548" s="228" t="s">
        <v>280</v>
      </c>
      <c r="F548" s="228" t="s">
        <v>19</v>
      </c>
      <c r="G548" s="162">
        <v>60000</v>
      </c>
      <c r="H548" s="162">
        <v>0</v>
      </c>
      <c r="I548" s="162">
        <f t="shared" si="455"/>
        <v>60000</v>
      </c>
      <c r="J548" s="163">
        <f>IF(G548&gt;=Datos!$D$14,(Datos!$D$14*Datos!$C$14),IF(G548&lt;=Datos!$D$14,(G548*Datos!$C$14)))</f>
        <v>1722</v>
      </c>
      <c r="K548" s="164">
        <f>IF((G548-J548-L548)&lt;=Datos!$G$7,"0",IF((G548-J548-L548)&lt;=Datos!$G$8,((G548-J548-L548)-Datos!$F$8)*Datos!$I$6,IF((G548-J548-L548)&lt;=Datos!$G$9,Datos!$I$8+((G548-J548-L548)-Datos!$F$9)*Datos!$J$6,IF((G548-J548-L548)&gt;=Datos!$F$10,(Datos!$I$8+Datos!$J$8)+((G548-J548-L548)-Datos!$F$10)*Datos!$K$6))))</f>
        <v>3486.6756666666661</v>
      </c>
      <c r="L548" s="163">
        <f>IF(G548&gt;=Datos!$D$15,(Datos!$D$15*Datos!$C$15),IF(G548&lt;=Datos!$D$15,(G548*Datos!$C$15)))</f>
        <v>1824</v>
      </c>
      <c r="M548" s="162">
        <v>25</v>
      </c>
      <c r="N548" s="162">
        <f t="shared" si="460"/>
        <v>7057.6756666666661</v>
      </c>
      <c r="O548" s="191">
        <f t="shared" si="461"/>
        <v>52942.324333333338</v>
      </c>
    </row>
    <row r="549" spans="1:15" ht="36.75" customHeight="1" x14ac:dyDescent="0.2">
      <c r="A549" s="225">
        <v>445</v>
      </c>
      <c r="B549" s="227" t="s">
        <v>980</v>
      </c>
      <c r="C549" s="227" t="s">
        <v>284</v>
      </c>
      <c r="D549" s="99" t="s">
        <v>452</v>
      </c>
      <c r="E549" s="228" t="s">
        <v>280</v>
      </c>
      <c r="F549" s="228" t="s">
        <v>19</v>
      </c>
      <c r="G549" s="162">
        <v>35000</v>
      </c>
      <c r="H549" s="162">
        <v>0</v>
      </c>
      <c r="I549" s="162">
        <f t="shared" si="455"/>
        <v>35000</v>
      </c>
      <c r="J549" s="163">
        <f>IF(G549&gt;=Datos!$D$14,(Datos!$D$14*Datos!$C$14),IF(G549&lt;=Datos!$D$14,(G549*Datos!$C$14)))</f>
        <v>1004.5</v>
      </c>
      <c r="K549" s="164" t="str">
        <f>IF((G549-J549-L549)&lt;=Datos!$G$7,"0",IF((G549-J549-L549)&lt;=Datos!$G$8,((G549-J549-L549)-Datos!$F$8)*Datos!$I$6,IF((G549-J549-L549)&lt;=Datos!$G$9,Datos!$I$8+((G549-J549-L549)-Datos!$F$9)*Datos!$J$6,IF((G549-J549-L549)&gt;=Datos!$F$10,(Datos!$I$8+Datos!$J$8)+((G549-J549-L549)-Datos!$F$10)*Datos!$K$6))))</f>
        <v>0</v>
      </c>
      <c r="L549" s="163">
        <f>IF(G549&gt;=Datos!$D$15,(Datos!$D$15*Datos!$C$15),IF(G549&lt;=Datos!$D$15,(G549*Datos!$C$15)))</f>
        <v>1064</v>
      </c>
      <c r="M549" s="162">
        <v>25</v>
      </c>
      <c r="N549" s="162">
        <f t="shared" si="458"/>
        <v>2093.5</v>
      </c>
      <c r="O549" s="191">
        <f t="shared" si="459"/>
        <v>32906.5</v>
      </c>
    </row>
    <row r="550" spans="1:15" ht="36.75" customHeight="1" x14ac:dyDescent="0.2">
      <c r="A550" s="225">
        <v>446</v>
      </c>
      <c r="B550" s="227" t="s">
        <v>981</v>
      </c>
      <c r="C550" s="227" t="s">
        <v>284</v>
      </c>
      <c r="D550" s="99" t="s">
        <v>452</v>
      </c>
      <c r="E550" s="228" t="s">
        <v>280</v>
      </c>
      <c r="F550" s="228" t="s">
        <v>19</v>
      </c>
      <c r="G550" s="162">
        <v>35000</v>
      </c>
      <c r="H550" s="162">
        <v>0</v>
      </c>
      <c r="I550" s="162">
        <f t="shared" si="455"/>
        <v>35000</v>
      </c>
      <c r="J550" s="163">
        <f>IF(G550&gt;=Datos!$D$14,(Datos!$D$14*Datos!$C$14),IF(G550&lt;=Datos!$D$14,(G550*Datos!$C$14)))</f>
        <v>1004.5</v>
      </c>
      <c r="K550" s="164" t="str">
        <f>IF((G550-J550-L550)&lt;=Datos!$G$7,"0",IF((G550-J550-L550)&lt;=Datos!$G$8,((G550-J550-L550)-Datos!$F$8)*Datos!$I$6,IF((G550-J550-L550)&lt;=Datos!$G$9,Datos!$I$8+((G550-J550-L550)-Datos!$F$9)*Datos!$J$6,IF((G550-J550-L550)&gt;=Datos!$F$10,(Datos!$I$8+Datos!$J$8)+((G550-J550-L550)-Datos!$F$10)*Datos!$K$6))))</f>
        <v>0</v>
      </c>
      <c r="L550" s="163">
        <f>IF(G550&gt;=Datos!$D$15,(Datos!$D$15*Datos!$C$15),IF(G550&lt;=Datos!$D$15,(G550*Datos!$C$15)))</f>
        <v>1064</v>
      </c>
      <c r="M550" s="162">
        <v>25</v>
      </c>
      <c r="N550" s="162">
        <f t="shared" ref="N550:N553" si="468">SUM(J550:M550)</f>
        <v>2093.5</v>
      </c>
      <c r="O550" s="191">
        <f t="shared" ref="O550:O553" si="469">+G550-N550</f>
        <v>32906.5</v>
      </c>
    </row>
    <row r="551" spans="1:15" ht="36.75" customHeight="1" x14ac:dyDescent="0.2">
      <c r="A551" s="225">
        <v>447</v>
      </c>
      <c r="B551" s="226" t="s">
        <v>982</v>
      </c>
      <c r="C551" s="227" t="s">
        <v>284</v>
      </c>
      <c r="D551" s="99" t="s">
        <v>452</v>
      </c>
      <c r="E551" s="228" t="s">
        <v>280</v>
      </c>
      <c r="F551" s="228" t="s">
        <v>19</v>
      </c>
      <c r="G551" s="138">
        <v>35000</v>
      </c>
      <c r="H551" s="162">
        <v>0</v>
      </c>
      <c r="I551" s="162">
        <f t="shared" si="455"/>
        <v>35000</v>
      </c>
      <c r="J551" s="163">
        <f>IF(G551&gt;=Datos!$D$14,(Datos!$D$14*Datos!$C$14),IF(G551&lt;=Datos!$D$14,(G551*Datos!$C$14)))</f>
        <v>1004.5</v>
      </c>
      <c r="K551" s="164" t="str">
        <f>IF((G551-J551-L551)&lt;=Datos!$G$7,"0",IF((G551-J551-L551)&lt;=Datos!$G$8,((G551-J551-L551)-Datos!$F$8)*Datos!$I$6,IF((G551-J551-L551)&lt;=Datos!$G$9,Datos!$I$8+((G551-J551-L551)-Datos!$F$9)*Datos!$J$6,IF((G551-J551-L551)&gt;=Datos!$F$10,(Datos!$I$8+Datos!$J$8)+((G551-J551-L551)-Datos!$F$10)*Datos!$K$6))))</f>
        <v>0</v>
      </c>
      <c r="L551" s="163">
        <f>IF(G551&gt;=Datos!$D$15,(Datos!$D$15*Datos!$C$15),IF(G551&lt;=Datos!$D$15,(G551*Datos!$C$15)))</f>
        <v>1064</v>
      </c>
      <c r="M551" s="162">
        <v>25</v>
      </c>
      <c r="N551" s="162">
        <f t="shared" si="468"/>
        <v>2093.5</v>
      </c>
      <c r="O551" s="191">
        <f t="shared" si="469"/>
        <v>32906.5</v>
      </c>
    </row>
    <row r="552" spans="1:15" ht="36.75" customHeight="1" x14ac:dyDescent="0.2">
      <c r="A552" s="225">
        <v>448</v>
      </c>
      <c r="B552" s="227" t="s">
        <v>983</v>
      </c>
      <c r="C552" s="227" t="s">
        <v>284</v>
      </c>
      <c r="D552" s="99" t="s">
        <v>452</v>
      </c>
      <c r="E552" s="228" t="s">
        <v>280</v>
      </c>
      <c r="F552" s="228" t="s">
        <v>19</v>
      </c>
      <c r="G552" s="162">
        <v>35000</v>
      </c>
      <c r="H552" s="162">
        <v>0</v>
      </c>
      <c r="I552" s="162">
        <f t="shared" si="455"/>
        <v>35000</v>
      </c>
      <c r="J552" s="163">
        <f>IF(G552&gt;=Datos!$D$14,(Datos!$D$14*Datos!$C$14),IF(G552&lt;=Datos!$D$14,(G552*Datos!$C$14)))</f>
        <v>1004.5</v>
      </c>
      <c r="K552" s="164" t="str">
        <f>IF((G552-J552-L552)&lt;=Datos!$G$7,"0",IF((G552-J552-L552)&lt;=Datos!$G$8,((G552-J552-L552)-Datos!$F$8)*Datos!$I$6,IF((G552-J552-L552)&lt;=Datos!$G$9,Datos!$I$8+((G552-J552-L552)-Datos!$F$9)*Datos!$J$6,IF((G552-J552-L552)&gt;=Datos!$F$10,(Datos!$I$8+Datos!$J$8)+((G552-J552-L552)-Datos!$F$10)*Datos!$K$6))))</f>
        <v>0</v>
      </c>
      <c r="L552" s="163">
        <f>IF(G552&gt;=Datos!$D$15,(Datos!$D$15*Datos!$C$15),IF(G552&lt;=Datos!$D$15,(G552*Datos!$C$15)))</f>
        <v>1064</v>
      </c>
      <c r="M552" s="162">
        <v>25</v>
      </c>
      <c r="N552" s="162">
        <f t="shared" si="468"/>
        <v>2093.5</v>
      </c>
      <c r="O552" s="191">
        <f t="shared" si="469"/>
        <v>32906.5</v>
      </c>
    </row>
    <row r="553" spans="1:15" ht="36.75" customHeight="1" x14ac:dyDescent="0.2">
      <c r="A553" s="225">
        <v>449</v>
      </c>
      <c r="B553" s="227" t="s">
        <v>984</v>
      </c>
      <c r="C553" s="227" t="s">
        <v>284</v>
      </c>
      <c r="D553" s="99" t="s">
        <v>710</v>
      </c>
      <c r="E553" s="228" t="s">
        <v>280</v>
      </c>
      <c r="F553" s="228" t="s">
        <v>19</v>
      </c>
      <c r="G553" s="162">
        <v>60000</v>
      </c>
      <c r="H553" s="162">
        <v>0</v>
      </c>
      <c r="I553" s="162">
        <f t="shared" si="455"/>
        <v>60000</v>
      </c>
      <c r="J553" s="163">
        <f>IF(G553&gt;=Datos!$D$14,(Datos!$D$14*Datos!$C$14),IF(G553&lt;=Datos!$D$14,(G553*Datos!$C$14)))</f>
        <v>1722</v>
      </c>
      <c r="K553" s="164">
        <v>3143.58</v>
      </c>
      <c r="L553" s="163">
        <f>IF(G553&gt;=Datos!$D$15,(Datos!$D$15*Datos!$C$15),IF(G553&lt;=Datos!$D$15,(G553*Datos!$C$15)))</f>
        <v>1824</v>
      </c>
      <c r="M553" s="162">
        <v>1740.46</v>
      </c>
      <c r="N553" s="162">
        <f t="shared" si="468"/>
        <v>8430.0400000000009</v>
      </c>
      <c r="O553" s="191">
        <f t="shared" si="469"/>
        <v>51569.96</v>
      </c>
    </row>
    <row r="554" spans="1:15" ht="36.75" customHeight="1" x14ac:dyDescent="0.2">
      <c r="A554" s="225">
        <v>450</v>
      </c>
      <c r="B554" s="227" t="s">
        <v>985</v>
      </c>
      <c r="C554" s="227" t="s">
        <v>284</v>
      </c>
      <c r="D554" s="99" t="s">
        <v>452</v>
      </c>
      <c r="E554" s="228" t="s">
        <v>280</v>
      </c>
      <c r="F554" s="228" t="s">
        <v>19</v>
      </c>
      <c r="G554" s="162">
        <v>35000</v>
      </c>
      <c r="H554" s="162">
        <v>0</v>
      </c>
      <c r="I554" s="162">
        <f t="shared" si="455"/>
        <v>35000</v>
      </c>
      <c r="J554" s="163">
        <f>IF(G554&gt;=Datos!$D$14,(Datos!$D$14*Datos!$C$14),IF(G554&lt;=Datos!$D$14,(G554*Datos!$C$14)))</f>
        <v>1004.5</v>
      </c>
      <c r="K554" s="164" t="str">
        <f>IF((G554-J554-L554)&lt;=Datos!$G$7,"0",IF((G554-J554-L554)&lt;=Datos!$G$8,((G554-J554-L554)-Datos!$F$8)*Datos!$I$6,IF((G554-J554-L554)&lt;=Datos!$G$9,Datos!$I$8+((G554-J554-L554)-Datos!$F$9)*Datos!$J$6,IF((G554-J554-L554)&gt;=Datos!$F$10,(Datos!$I$8+Datos!$J$8)+((G554-J554-L554)-Datos!$F$10)*Datos!$K$6))))</f>
        <v>0</v>
      </c>
      <c r="L554" s="163">
        <f>IF(G554&gt;=Datos!$D$15,(Datos!$D$15*Datos!$C$15),IF(G554&lt;=Datos!$D$15,(G554*Datos!$C$15)))</f>
        <v>1064</v>
      </c>
      <c r="M554" s="162">
        <v>25</v>
      </c>
      <c r="N554" s="162">
        <f t="shared" si="458"/>
        <v>2093.5</v>
      </c>
      <c r="O554" s="191">
        <f t="shared" si="459"/>
        <v>32906.5</v>
      </c>
    </row>
    <row r="555" spans="1:15" ht="36.75" customHeight="1" x14ac:dyDescent="0.2">
      <c r="A555" s="225">
        <v>451</v>
      </c>
      <c r="B555" s="227" t="s">
        <v>986</v>
      </c>
      <c r="C555" s="227" t="s">
        <v>284</v>
      </c>
      <c r="D555" s="99" t="s">
        <v>452</v>
      </c>
      <c r="E555" s="228" t="s">
        <v>280</v>
      </c>
      <c r="F555" s="228" t="s">
        <v>19</v>
      </c>
      <c r="G555" s="162">
        <v>35000</v>
      </c>
      <c r="H555" s="162">
        <v>0</v>
      </c>
      <c r="I555" s="162">
        <f t="shared" si="455"/>
        <v>35000</v>
      </c>
      <c r="J555" s="163">
        <f>IF(G555&gt;=Datos!$D$14,(Datos!$D$14*Datos!$C$14),IF(G555&lt;=Datos!$D$14,(G555*Datos!$C$14)))</f>
        <v>1004.5</v>
      </c>
      <c r="K555" s="164" t="str">
        <f>IF((G555-J555-L555)&lt;=Datos!$G$7,"0",IF((G555-J555-L555)&lt;=Datos!$G$8,((G555-J555-L555)-Datos!$F$8)*Datos!$I$6,IF((G555-J555-L555)&lt;=Datos!$G$9,Datos!$I$8+((G555-J555-L555)-Datos!$F$9)*Datos!$J$6,IF((G555-J555-L555)&gt;=Datos!$F$10,(Datos!$I$8+Datos!$J$8)+((G555-J555-L555)-Datos!$F$10)*Datos!$K$6))))</f>
        <v>0</v>
      </c>
      <c r="L555" s="163">
        <f>IF(G555&gt;=Datos!$D$15,(Datos!$D$15*Datos!$C$15),IF(G555&lt;=Datos!$D$15,(G555*Datos!$C$15)))</f>
        <v>1064</v>
      </c>
      <c r="M555" s="162">
        <v>25</v>
      </c>
      <c r="N555" s="162">
        <f t="shared" si="458"/>
        <v>2093.5</v>
      </c>
      <c r="O555" s="191">
        <f t="shared" si="459"/>
        <v>32906.5</v>
      </c>
    </row>
    <row r="556" spans="1:15" ht="36.75" customHeight="1" x14ac:dyDescent="0.2">
      <c r="A556" s="225">
        <v>452</v>
      </c>
      <c r="B556" s="226" t="s">
        <v>988</v>
      </c>
      <c r="C556" s="227" t="s">
        <v>284</v>
      </c>
      <c r="D556" s="99" t="s">
        <v>710</v>
      </c>
      <c r="E556" s="228" t="s">
        <v>280</v>
      </c>
      <c r="F556" s="228" t="s">
        <v>281</v>
      </c>
      <c r="G556" s="162">
        <v>60000</v>
      </c>
      <c r="H556" s="162">
        <v>0</v>
      </c>
      <c r="I556" s="162">
        <f t="shared" si="455"/>
        <v>60000</v>
      </c>
      <c r="J556" s="163">
        <f>IF(G556&gt;=Datos!$D$14,(Datos!$D$14*Datos!$C$14),IF(G556&lt;=Datos!$D$14,(G556*Datos!$C$14)))</f>
        <v>1722</v>
      </c>
      <c r="K556" s="164">
        <f>IF((G556-J556-L556)&lt;=Datos!$G$7,"0",IF((G556-J556-L556)&lt;=Datos!$G$8,((G556-J556-L556)-Datos!$F$8)*Datos!$I$6,IF((G556-J556-L556)&lt;=Datos!$G$9,Datos!$I$8+((G556-J556-L556)-Datos!$F$9)*Datos!$J$6,IF((G556-J556-L556)&gt;=Datos!$F$10,(Datos!$I$8+Datos!$J$8)+((G556-J556-L556)-Datos!$F$10)*Datos!$K$6))))</f>
        <v>3486.6756666666661</v>
      </c>
      <c r="L556" s="163">
        <f>IF(G556&gt;=Datos!$D$15,(Datos!$D$15*Datos!$C$15),IF(G556&lt;=Datos!$D$15,(G556*Datos!$C$15)))</f>
        <v>1824</v>
      </c>
      <c r="M556" s="162">
        <v>25</v>
      </c>
      <c r="N556" s="162">
        <f t="shared" ref="N556:N562" si="470">SUM(J556:M556)</f>
        <v>7057.6756666666661</v>
      </c>
      <c r="O556" s="191">
        <f t="shared" ref="O556:O562" si="471">+G556-N556</f>
        <v>52942.324333333338</v>
      </c>
    </row>
    <row r="557" spans="1:15" ht="36.75" customHeight="1" x14ac:dyDescent="0.2">
      <c r="A557" s="225">
        <v>453</v>
      </c>
      <c r="B557" s="227" t="s">
        <v>990</v>
      </c>
      <c r="C557" s="227" t="s">
        <v>284</v>
      </c>
      <c r="D557" s="99" t="s">
        <v>710</v>
      </c>
      <c r="E557" s="228" t="s">
        <v>280</v>
      </c>
      <c r="F557" s="228" t="s">
        <v>19</v>
      </c>
      <c r="G557" s="162">
        <v>60000</v>
      </c>
      <c r="H557" s="162">
        <v>0</v>
      </c>
      <c r="I557" s="162">
        <f t="shared" si="455"/>
        <v>60000</v>
      </c>
      <c r="J557" s="163">
        <f>IF(G557&gt;=Datos!$D$14,(Datos!$D$14*Datos!$C$14),IF(G557&lt;=Datos!$D$14,(G557*Datos!$C$14)))</f>
        <v>1722</v>
      </c>
      <c r="K557" s="164">
        <f>IF((G557-J557-L557)&lt;=Datos!$G$7,"0",IF((G557-J557-L557)&lt;=Datos!$G$8,((G557-J557-L557)-Datos!$F$8)*Datos!$I$6,IF((G557-J557-L557)&lt;=Datos!$G$9,Datos!$I$8+((G557-J557-L557)-Datos!$F$9)*Datos!$J$6,IF((G557-J557-L557)&gt;=Datos!$F$10,(Datos!$I$8+Datos!$J$8)+((G557-J557-L557)-Datos!$F$10)*Datos!$K$6))))</f>
        <v>3486.6756666666661</v>
      </c>
      <c r="L557" s="163">
        <f>IF(G557&gt;=Datos!$D$15,(Datos!$D$15*Datos!$C$15),IF(G557&lt;=Datos!$D$15,(G557*Datos!$C$15)))</f>
        <v>1824</v>
      </c>
      <c r="M557" s="162">
        <v>25</v>
      </c>
      <c r="N557" s="162">
        <f t="shared" si="470"/>
        <v>7057.6756666666661</v>
      </c>
      <c r="O557" s="191">
        <f t="shared" si="471"/>
        <v>52942.324333333338</v>
      </c>
    </row>
    <row r="558" spans="1:15" ht="36.75" customHeight="1" x14ac:dyDescent="0.2">
      <c r="A558" s="225">
        <v>454</v>
      </c>
      <c r="B558" s="227" t="s">
        <v>151</v>
      </c>
      <c r="C558" s="227" t="s">
        <v>284</v>
      </c>
      <c r="D558" s="99" t="s">
        <v>1057</v>
      </c>
      <c r="E558" s="228" t="s">
        <v>280</v>
      </c>
      <c r="F558" s="228" t="s">
        <v>19</v>
      </c>
      <c r="G558" s="162">
        <v>120000</v>
      </c>
      <c r="H558" s="162">
        <v>0</v>
      </c>
      <c r="I558" s="162">
        <f t="shared" si="455"/>
        <v>120000</v>
      </c>
      <c r="J558" s="163">
        <f>IF(G558&gt;=Datos!$D$14,(Datos!$D$14*Datos!$C$14),IF(G558&lt;=Datos!$D$14,(G558*Datos!$C$14)))</f>
        <v>3444</v>
      </c>
      <c r="K558" s="164">
        <f>IF((G558-J558-L558)&lt;=Datos!$G$7,"0",IF((G558-J558-L558)&lt;=Datos!$G$8,((G558-J558-L558)-Datos!$F$8)*Datos!$I$6,IF((G558-J558-L558)&lt;=Datos!$G$9,Datos!$I$8+((G558-J558-L558)-Datos!$F$9)*Datos!$J$6,IF((G558-J558-L558)&gt;=Datos!$F$10,(Datos!$I$8+Datos!$J$8)+((G558-J558-L558)-Datos!$F$10)*Datos!$K$6))))</f>
        <v>16809.860666666667</v>
      </c>
      <c r="L558" s="163">
        <f>IF(G558&gt;=Datos!$D$15,(Datos!$D$15*Datos!$C$15),IF(G558&lt;=Datos!$D$15,(G558*Datos!$C$15)))</f>
        <v>3648</v>
      </c>
      <c r="M558" s="162">
        <v>25</v>
      </c>
      <c r="N558" s="162">
        <f t="shared" si="470"/>
        <v>23926.860666666667</v>
      </c>
      <c r="O558" s="191">
        <f t="shared" si="471"/>
        <v>96073.139333333325</v>
      </c>
    </row>
    <row r="559" spans="1:15" ht="36.75" customHeight="1" x14ac:dyDescent="0.2">
      <c r="A559" s="225">
        <v>455</v>
      </c>
      <c r="B559" s="227" t="s">
        <v>44</v>
      </c>
      <c r="C559" s="227" t="s">
        <v>284</v>
      </c>
      <c r="D559" s="99" t="s">
        <v>607</v>
      </c>
      <c r="E559" s="228" t="s">
        <v>280</v>
      </c>
      <c r="F559" s="228" t="s">
        <v>19</v>
      </c>
      <c r="G559" s="162">
        <v>91046.81</v>
      </c>
      <c r="H559" s="162">
        <v>0</v>
      </c>
      <c r="I559" s="162">
        <f t="shared" si="455"/>
        <v>91046.81</v>
      </c>
      <c r="J559" s="163">
        <f>IF(G559&gt;=Datos!$D$14,(Datos!$D$14*Datos!$C$14),IF(G559&lt;=Datos!$D$14,(G559*Datos!$C$14)))</f>
        <v>2613.043447</v>
      </c>
      <c r="K559" s="164">
        <f>IF((G559-J559-L559)&lt;=Datos!$G$7,"0",IF((G559-J559-L559)&lt;=Datos!$G$8,((G559-J559-L559)-Datos!$F$8)*Datos!$I$6,IF((G559-J559-L559)&lt;=Datos!$G$9,Datos!$I$8+((G559-J559-L559)-Datos!$F$9)*Datos!$J$6,IF((G559-J559-L559)&gt;=Datos!$F$10,(Datos!$I$8+Datos!$J$8)+((G559-J559-L559)-Datos!$F$10)*Datos!$K$6))))</f>
        <v>9999.3465489166665</v>
      </c>
      <c r="L559" s="163">
        <f>IF(G559&gt;=Datos!$D$15,(Datos!$D$15*Datos!$C$15),IF(G559&lt;=Datos!$D$15,(G559*Datos!$C$15)))</f>
        <v>2767.8230239999998</v>
      </c>
      <c r="M559" s="162">
        <v>25</v>
      </c>
      <c r="N559" s="162">
        <f t="shared" si="470"/>
        <v>15405.213019916666</v>
      </c>
      <c r="O559" s="191">
        <f t="shared" si="471"/>
        <v>75641.596980083326</v>
      </c>
    </row>
    <row r="560" spans="1:15" ht="36.75" customHeight="1" x14ac:dyDescent="0.2">
      <c r="A560" s="225">
        <v>456</v>
      </c>
      <c r="B560" s="227" t="s">
        <v>618</v>
      </c>
      <c r="C560" s="227" t="s">
        <v>284</v>
      </c>
      <c r="D560" s="99" t="s">
        <v>452</v>
      </c>
      <c r="E560" s="228" t="s">
        <v>280</v>
      </c>
      <c r="F560" s="228" t="s">
        <v>19</v>
      </c>
      <c r="G560" s="162">
        <v>35000</v>
      </c>
      <c r="H560" s="162">
        <v>0</v>
      </c>
      <c r="I560" s="162">
        <f t="shared" si="455"/>
        <v>35000</v>
      </c>
      <c r="J560" s="163">
        <f>IF(G560&gt;=Datos!$D$14,(Datos!$D$14*Datos!$C$14),IF(G560&lt;=Datos!$D$14,(G560*Datos!$C$14)))</f>
        <v>1004.5</v>
      </c>
      <c r="K560" s="164" t="str">
        <f>IF((G560-J560-L560)&lt;=Datos!$G$7,"0",IF((G560-J560-L560)&lt;=Datos!$G$8,((G560-J560-L560)-Datos!$F$8)*Datos!$I$6,IF((G560-J560-L560)&lt;=Datos!$G$9,Datos!$I$8+((G560-J560-L560)-Datos!$F$9)*Datos!$J$6,IF((G560-J560-L560)&gt;=Datos!$F$10,(Datos!$I$8+Datos!$J$8)+((G560-J560-L560)-Datos!$F$10)*Datos!$K$6))))</f>
        <v>0</v>
      </c>
      <c r="L560" s="163">
        <f>IF(G560&gt;=Datos!$D$15,(Datos!$D$15*Datos!$C$15),IF(G560&lt;=Datos!$D$15,(G560*Datos!$C$15)))</f>
        <v>1064</v>
      </c>
      <c r="M560" s="162">
        <v>25</v>
      </c>
      <c r="N560" s="162">
        <f t="shared" si="470"/>
        <v>2093.5</v>
      </c>
      <c r="O560" s="191">
        <f t="shared" si="471"/>
        <v>32906.5</v>
      </c>
    </row>
    <row r="561" spans="1:16" ht="36.75" customHeight="1" x14ac:dyDescent="0.2">
      <c r="A561" s="225">
        <v>457</v>
      </c>
      <c r="B561" s="227" t="s">
        <v>163</v>
      </c>
      <c r="C561" s="227" t="s">
        <v>284</v>
      </c>
      <c r="D561" s="99" t="s">
        <v>620</v>
      </c>
      <c r="E561" s="228" t="s">
        <v>280</v>
      </c>
      <c r="F561" s="228" t="s">
        <v>19</v>
      </c>
      <c r="G561" s="162">
        <v>80000</v>
      </c>
      <c r="H561" s="162">
        <v>0</v>
      </c>
      <c r="I561" s="162">
        <f t="shared" si="455"/>
        <v>80000</v>
      </c>
      <c r="J561" s="163">
        <f>IF(G561&gt;=Datos!$D$14,(Datos!$D$14*Datos!$C$14),IF(G561&lt;=Datos!$D$14,(G561*Datos!$C$14)))</f>
        <v>2296</v>
      </c>
      <c r="K561" s="164">
        <f>IF((G561-J561-L561)&lt;=Datos!$G$7,"0",IF((G561-J561-L561)&lt;=Datos!$G$8,((G561-J561-L561)-Datos!$F$8)*Datos!$I$6,IF((G561-J561-L561)&lt;=Datos!$G$9,Datos!$I$8+((G561-J561-L561)-Datos!$F$9)*Datos!$J$6,IF((G561-J561-L561)&gt;=Datos!$F$10,(Datos!$I$8+Datos!$J$8)+((G561-J561-L561)-Datos!$F$10)*Datos!$K$6))))</f>
        <v>7400.8606666666674</v>
      </c>
      <c r="L561" s="163">
        <f>IF(G561&gt;=Datos!$D$15,(Datos!$D$15*Datos!$C$15),IF(G561&lt;=Datos!$D$15,(G561*Datos!$C$15)))</f>
        <v>2432</v>
      </c>
      <c r="M561" s="162">
        <v>9992.31</v>
      </c>
      <c r="N561" s="162">
        <f t="shared" si="470"/>
        <v>22121.170666666665</v>
      </c>
      <c r="O561" s="191">
        <f t="shared" si="471"/>
        <v>57878.829333333335</v>
      </c>
    </row>
    <row r="562" spans="1:16" ht="36.75" customHeight="1" x14ac:dyDescent="0.2">
      <c r="A562" s="225">
        <v>458</v>
      </c>
      <c r="B562" s="226" t="s">
        <v>534</v>
      </c>
      <c r="C562" s="227" t="s">
        <v>284</v>
      </c>
      <c r="D562" s="99" t="s">
        <v>452</v>
      </c>
      <c r="E562" s="228" t="s">
        <v>280</v>
      </c>
      <c r="F562" s="228" t="s">
        <v>19</v>
      </c>
      <c r="G562" s="162">
        <v>35000</v>
      </c>
      <c r="H562" s="162">
        <v>0</v>
      </c>
      <c r="I562" s="162">
        <f t="shared" si="455"/>
        <v>35000</v>
      </c>
      <c r="J562" s="163">
        <f>IF(G562&gt;=Datos!$D$14,(Datos!$D$14*Datos!$C$14),IF(G562&lt;=Datos!$D$14,(G562*Datos!$C$14)))</f>
        <v>1004.5</v>
      </c>
      <c r="K562" s="164" t="str">
        <f>IF((G562-J562-L562)&lt;=Datos!$G$7,"0",IF((G562-J562-L562)&lt;=Datos!$G$8,((G562-J562-L562)-Datos!$F$8)*Datos!$I$6,IF((G562-J562-L562)&lt;=Datos!$G$9,Datos!$I$8+((G562-J562-L562)-Datos!$F$9)*Datos!$J$6,IF((G562-J562-L562)&gt;=Datos!$F$10,(Datos!$I$8+Datos!$J$8)+((G562-J562-L562)-Datos!$F$10)*Datos!$K$6))))</f>
        <v>0</v>
      </c>
      <c r="L562" s="163">
        <f>IF(G562&gt;=Datos!$D$15,(Datos!$D$15*Datos!$C$15),IF(G562&lt;=Datos!$D$15,(G562*Datos!$C$15)))</f>
        <v>1064</v>
      </c>
      <c r="M562" s="162">
        <v>25</v>
      </c>
      <c r="N562" s="162">
        <f t="shared" si="470"/>
        <v>2093.5</v>
      </c>
      <c r="O562" s="191">
        <f t="shared" si="471"/>
        <v>32906.5</v>
      </c>
    </row>
    <row r="563" spans="1:16" ht="36.75" customHeight="1" x14ac:dyDescent="0.2">
      <c r="A563" s="225">
        <v>459</v>
      </c>
      <c r="B563" s="227" t="s">
        <v>145</v>
      </c>
      <c r="C563" s="227" t="s">
        <v>284</v>
      </c>
      <c r="D563" s="99" t="s">
        <v>620</v>
      </c>
      <c r="E563" s="228" t="s">
        <v>280</v>
      </c>
      <c r="F563" s="228" t="s">
        <v>281</v>
      </c>
      <c r="G563" s="162">
        <v>80000</v>
      </c>
      <c r="H563" s="162">
        <v>0</v>
      </c>
      <c r="I563" s="162">
        <f t="shared" si="455"/>
        <v>80000</v>
      </c>
      <c r="J563" s="163">
        <f>IF(G563&gt;=Datos!$D$14,(Datos!$D$14*Datos!$C$14),IF(G563&lt;=Datos!$D$14,(G563*Datos!$C$14)))</f>
        <v>2296</v>
      </c>
      <c r="K563" s="164">
        <f>IF((G563-J563-L563)&lt;=Datos!$G$7,"0",IF((G563-J563-L563)&lt;=Datos!$G$8,((G563-J563-L563)-Datos!$F$8)*Datos!$I$6,IF((G563-J563-L563)&lt;=Datos!$G$9,Datos!$I$8+((G563-J563-L563)-Datos!$F$9)*Datos!$J$6,IF((G563-J563-L563)&gt;=Datos!$F$10,(Datos!$I$8+Datos!$J$8)+((G563-J563-L563)-Datos!$F$10)*Datos!$K$6))))</f>
        <v>7400.8606666666674</v>
      </c>
      <c r="L563" s="163">
        <f>IF(G563&gt;=Datos!$D$15,(Datos!$D$15*Datos!$C$15),IF(G563&lt;=Datos!$D$15,(G563*Datos!$C$15)))</f>
        <v>2432</v>
      </c>
      <c r="M563" s="162">
        <v>25</v>
      </c>
      <c r="N563" s="162">
        <f t="shared" si="456"/>
        <v>12153.860666666667</v>
      </c>
      <c r="O563" s="191">
        <f t="shared" si="457"/>
        <v>67846.139333333325</v>
      </c>
    </row>
    <row r="564" spans="1:16" ht="36.75" customHeight="1" x14ac:dyDescent="0.2">
      <c r="A564" s="225">
        <v>460</v>
      </c>
      <c r="B564" s="226" t="s">
        <v>168</v>
      </c>
      <c r="C564" s="227" t="s">
        <v>284</v>
      </c>
      <c r="D564" s="99" t="s">
        <v>620</v>
      </c>
      <c r="E564" s="228" t="s">
        <v>280</v>
      </c>
      <c r="F564" s="228" t="s">
        <v>19</v>
      </c>
      <c r="G564" s="162">
        <v>80000</v>
      </c>
      <c r="H564" s="162">
        <v>0</v>
      </c>
      <c r="I564" s="162">
        <f t="shared" si="455"/>
        <v>80000</v>
      </c>
      <c r="J564" s="163">
        <f>IF(G564&gt;=Datos!$D$14,(Datos!$D$14*Datos!$C$14),IF(G564&lt;=Datos!$D$14,(G564*Datos!$C$14)))</f>
        <v>2296</v>
      </c>
      <c r="K564" s="164">
        <f>IF((G564-J564-L564)&lt;=Datos!$G$7,"0",IF((G564-J564-L564)&lt;=Datos!$G$8,((G564-J564-L564)-Datos!$F$8)*Datos!$I$6,IF((G564-J564-L564)&lt;=Datos!$G$9,Datos!$I$8+((G564-J564-L564)-Datos!$F$9)*Datos!$J$6,IF((G564-J564-L564)&gt;=Datos!$F$10,(Datos!$I$8+Datos!$J$8)+((G564-J564-L564)-Datos!$F$10)*Datos!$K$6))))</f>
        <v>7400.8606666666674</v>
      </c>
      <c r="L564" s="163">
        <f>IF(G564&gt;=Datos!$D$15,(Datos!$D$15*Datos!$C$15),IF(G564&lt;=Datos!$D$15,(G564*Datos!$C$15)))</f>
        <v>2432</v>
      </c>
      <c r="M564" s="162">
        <v>25</v>
      </c>
      <c r="N564" s="162">
        <f t="shared" ref="N564:N570" si="472">SUM(J564:M564)</f>
        <v>12153.860666666667</v>
      </c>
      <c r="O564" s="191">
        <f t="shared" ref="O564:O570" si="473">+G564-N564</f>
        <v>67846.139333333325</v>
      </c>
    </row>
    <row r="565" spans="1:16" ht="36.75" customHeight="1" x14ac:dyDescent="0.2">
      <c r="A565" s="225">
        <v>461</v>
      </c>
      <c r="B565" s="226" t="s">
        <v>123</v>
      </c>
      <c r="C565" s="227" t="s">
        <v>284</v>
      </c>
      <c r="D565" s="99" t="s">
        <v>239</v>
      </c>
      <c r="E565" s="228" t="s">
        <v>280</v>
      </c>
      <c r="F565" s="228" t="s">
        <v>281</v>
      </c>
      <c r="G565" s="138">
        <v>72600</v>
      </c>
      <c r="H565" s="162">
        <v>0</v>
      </c>
      <c r="I565" s="162">
        <f t="shared" si="455"/>
        <v>72600</v>
      </c>
      <c r="J565" s="163">
        <f>IF(G565&gt;=Datos!$D$14,(Datos!$D$14*Datos!$C$14),IF(G565&lt;=Datos!$D$14,(G565*Datos!$C$14)))</f>
        <v>2083.62</v>
      </c>
      <c r="K565" s="164">
        <f>IF((G565-J565-L565)&lt;=Datos!$G$7,"0",IF((G565-J565-L565)&lt;=Datos!$G$8,((G565-J565-L565)-Datos!$F$8)*Datos!$I$6,IF((G565-J565-L565)&lt;=Datos!$G$9,Datos!$I$8+((G565-J565-L565)-Datos!$F$9)*Datos!$J$6,IF((G565-J565-L565)&gt;=Datos!$F$10,(Datos!$I$8+Datos!$J$8)+((G565-J565-L565)-Datos!$F$10)*Datos!$K$6))))</f>
        <v>5857.743666666669</v>
      </c>
      <c r="L565" s="163">
        <f>IF(G565&gt;=Datos!$D$15,(Datos!$D$15*Datos!$C$15),IF(G565&lt;=Datos!$D$15,(G565*Datos!$C$15)))</f>
        <v>2207.04</v>
      </c>
      <c r="M565" s="162">
        <v>25</v>
      </c>
      <c r="N565" s="162">
        <f t="shared" si="472"/>
        <v>10173.403666666669</v>
      </c>
      <c r="O565" s="191">
        <f t="shared" si="473"/>
        <v>62426.596333333335</v>
      </c>
    </row>
    <row r="566" spans="1:16" ht="36.75" customHeight="1" x14ac:dyDescent="0.2">
      <c r="A566" s="225">
        <v>462</v>
      </c>
      <c r="B566" s="227" t="s">
        <v>299</v>
      </c>
      <c r="C566" s="227" t="s">
        <v>284</v>
      </c>
      <c r="D566" s="99" t="s">
        <v>622</v>
      </c>
      <c r="E566" s="228" t="s">
        <v>280</v>
      </c>
      <c r="F566" s="228" t="s">
        <v>281</v>
      </c>
      <c r="G566" s="162">
        <v>72600</v>
      </c>
      <c r="H566" s="162">
        <v>0</v>
      </c>
      <c r="I566" s="162">
        <f t="shared" si="455"/>
        <v>72600</v>
      </c>
      <c r="J566" s="163">
        <f>IF(G566&gt;=Datos!$D$14,(Datos!$D$14*Datos!$C$14),IF(G566&lt;=Datos!$D$14,(G566*Datos!$C$14)))</f>
        <v>2083.62</v>
      </c>
      <c r="K566" s="164">
        <f>IF((G566-J566-L566)&lt;=Datos!$G$7,"0",IF((G566-J566-L566)&lt;=Datos!$G$8,((G566-J566-L566)-Datos!$F$8)*Datos!$I$6,IF((G566-J566-L566)&lt;=Datos!$G$9,Datos!$I$8+((G566-J566-L566)-Datos!$F$9)*Datos!$J$6,IF((G566-J566-L566)&gt;=Datos!$F$10,(Datos!$I$8+Datos!$J$8)+((G566-J566-L566)-Datos!$F$10)*Datos!$K$6))))</f>
        <v>5857.743666666669</v>
      </c>
      <c r="L566" s="163">
        <f>IF(G566&gt;=Datos!$D$15,(Datos!$D$15*Datos!$C$15),IF(G566&lt;=Datos!$D$15,(G566*Datos!$C$15)))</f>
        <v>2207.04</v>
      </c>
      <c r="M566" s="162">
        <v>25</v>
      </c>
      <c r="N566" s="162">
        <f t="shared" si="472"/>
        <v>10173.403666666669</v>
      </c>
      <c r="O566" s="191">
        <f t="shared" si="473"/>
        <v>62426.596333333335</v>
      </c>
    </row>
    <row r="567" spans="1:16" ht="36.75" customHeight="1" x14ac:dyDescent="0.2">
      <c r="A567" s="225">
        <v>463</v>
      </c>
      <c r="B567" s="227" t="s">
        <v>204</v>
      </c>
      <c r="C567" s="227" t="s">
        <v>284</v>
      </c>
      <c r="D567" s="99" t="s">
        <v>608</v>
      </c>
      <c r="E567" s="228" t="s">
        <v>280</v>
      </c>
      <c r="F567" s="228" t="s">
        <v>19</v>
      </c>
      <c r="G567" s="162">
        <v>78650</v>
      </c>
      <c r="H567" s="162">
        <v>0</v>
      </c>
      <c r="I567" s="162">
        <f t="shared" si="455"/>
        <v>78650</v>
      </c>
      <c r="J567" s="163">
        <f>IF(G567&gt;=Datos!$D$14,(Datos!$D$14*Datos!$C$14),IF(G567&lt;=Datos!$D$14,(G567*Datos!$C$14)))</f>
        <v>2257.2550000000001</v>
      </c>
      <c r="K567" s="164">
        <f>IF((G567-J567-L567)&lt;=Datos!$G$7,"0",IF((G567-J567-L567)&lt;=Datos!$G$8,((G567-J567-L567)-Datos!$F$8)*Datos!$I$6,IF((G567-J567-L567)&lt;=Datos!$G$9,Datos!$I$8+((G567-J567-L567)-Datos!$F$9)*Datos!$J$6,IF((G567-J567-L567)&gt;=Datos!$F$10,(Datos!$I$8+Datos!$J$8)+((G567-J567-L567)-Datos!$F$10)*Datos!$K$6))))</f>
        <v>7083.3069166666646</v>
      </c>
      <c r="L567" s="163">
        <f>IF(G567&gt;=Datos!$D$15,(Datos!$D$15*Datos!$C$15),IF(G567&lt;=Datos!$D$15,(G567*Datos!$C$15)))</f>
        <v>2390.96</v>
      </c>
      <c r="M567" s="162">
        <v>25</v>
      </c>
      <c r="N567" s="162">
        <f t="shared" si="472"/>
        <v>11756.521916666665</v>
      </c>
      <c r="O567" s="191">
        <f t="shared" si="473"/>
        <v>66893.478083333335</v>
      </c>
    </row>
    <row r="568" spans="1:16" ht="36.75" customHeight="1" x14ac:dyDescent="0.2">
      <c r="A568" s="225">
        <v>464</v>
      </c>
      <c r="B568" s="227" t="s">
        <v>199</v>
      </c>
      <c r="C568" s="227" t="s">
        <v>284</v>
      </c>
      <c r="D568" s="99" t="s">
        <v>608</v>
      </c>
      <c r="E568" s="228" t="s">
        <v>280</v>
      </c>
      <c r="F568" s="228" t="s">
        <v>19</v>
      </c>
      <c r="G568" s="162">
        <v>78650</v>
      </c>
      <c r="H568" s="162">
        <v>0</v>
      </c>
      <c r="I568" s="162">
        <f t="shared" si="455"/>
        <v>78650</v>
      </c>
      <c r="J568" s="163">
        <f>IF(G568&gt;=Datos!$D$14,(Datos!$D$14*Datos!$C$14),IF(G568&lt;=Datos!$D$14,(G568*Datos!$C$14)))</f>
        <v>2257.2550000000001</v>
      </c>
      <c r="K568" s="164">
        <f>IF((G568-J568-L568)&lt;=Datos!$G$7,"0",IF((G568-J568-L568)&lt;=Datos!$G$8,((G568-J568-L568)-Datos!$F$8)*Datos!$I$6,IF((G568-J568-L568)&lt;=Datos!$G$9,Datos!$I$8+((G568-J568-L568)-Datos!$F$9)*Datos!$J$6,IF((G568-J568-L568)&gt;=Datos!$F$10,(Datos!$I$8+Datos!$J$8)+((G568-J568-L568)-Datos!$F$10)*Datos!$K$6))))</f>
        <v>7083.3069166666646</v>
      </c>
      <c r="L568" s="163">
        <f>IF(G568&gt;=Datos!$D$15,(Datos!$D$15*Datos!$C$15),IF(G568&lt;=Datos!$D$15,(G568*Datos!$C$15)))</f>
        <v>2390.96</v>
      </c>
      <c r="M568" s="162">
        <v>25</v>
      </c>
      <c r="N568" s="162">
        <f t="shared" si="472"/>
        <v>11756.521916666665</v>
      </c>
      <c r="O568" s="191">
        <f t="shared" si="473"/>
        <v>66893.478083333335</v>
      </c>
    </row>
    <row r="569" spans="1:16" ht="36.75" customHeight="1" x14ac:dyDescent="0.2">
      <c r="A569" s="225">
        <v>465</v>
      </c>
      <c r="B569" s="227" t="s">
        <v>159</v>
      </c>
      <c r="C569" s="227" t="s">
        <v>284</v>
      </c>
      <c r="D569" s="99" t="s">
        <v>623</v>
      </c>
      <c r="E569" s="228" t="s">
        <v>280</v>
      </c>
      <c r="F569" s="228" t="s">
        <v>19</v>
      </c>
      <c r="G569" s="162">
        <v>85844.9</v>
      </c>
      <c r="H569" s="162">
        <v>0</v>
      </c>
      <c r="I569" s="162">
        <f t="shared" si="455"/>
        <v>85844.9</v>
      </c>
      <c r="J569" s="163">
        <f>IF(G569&gt;=Datos!$D$14,(Datos!$D$14*Datos!$C$14),IF(G569&lt;=Datos!$D$14,(G569*Datos!$C$14)))</f>
        <v>2463.7486299999996</v>
      </c>
      <c r="K569" s="164">
        <f>IF((G569-J569-L569)&lt;=Datos!$G$7,"0",IF((G569-J569-L569)&lt;=Datos!$G$8,((G569-J569-L569)-Datos!$F$8)*Datos!$I$6,IF((G569-J569-L569)&lt;=Datos!$G$9,Datos!$I$8+((G569-J569-L569)-Datos!$F$9)*Datos!$J$6,IF((G569-J569-L569)&gt;=Datos!$F$10,(Datos!$I$8+Datos!$J$8)+((G569-J569-L569)-Datos!$F$10)*Datos!$K$6))))</f>
        <v>8775.7272691666658</v>
      </c>
      <c r="L569" s="163">
        <f>IF(G569&gt;=Datos!$D$15,(Datos!$D$15*Datos!$C$15),IF(G569&lt;=Datos!$D$15,(G569*Datos!$C$15)))</f>
        <v>2609.6849599999996</v>
      </c>
      <c r="M569" s="162">
        <v>25</v>
      </c>
      <c r="N569" s="162">
        <f t="shared" si="472"/>
        <v>13874.160859166666</v>
      </c>
      <c r="O569" s="191">
        <f t="shared" si="473"/>
        <v>71970.739140833321</v>
      </c>
    </row>
    <row r="570" spans="1:16" ht="36.75" customHeight="1" x14ac:dyDescent="0.2">
      <c r="A570" s="225">
        <v>466</v>
      </c>
      <c r="B570" s="227" t="s">
        <v>294</v>
      </c>
      <c r="C570" s="227" t="s">
        <v>284</v>
      </c>
      <c r="D570" s="99" t="s">
        <v>288</v>
      </c>
      <c r="E570" s="228" t="s">
        <v>280</v>
      </c>
      <c r="F570" s="228" t="s">
        <v>19</v>
      </c>
      <c r="G570" s="162">
        <v>72600</v>
      </c>
      <c r="H570" s="162">
        <v>0</v>
      </c>
      <c r="I570" s="162">
        <f t="shared" si="455"/>
        <v>72600</v>
      </c>
      <c r="J570" s="163">
        <f>IF(G570&gt;=Datos!$D$14,(Datos!$D$14*Datos!$C$14),IF(G570&lt;=Datos!$D$14,(G570*Datos!$C$14)))</f>
        <v>2083.62</v>
      </c>
      <c r="K570" s="164">
        <f>IF((G570-J570-L570)&lt;=Datos!$G$7,"0",IF((G570-J570-L570)&lt;=Datos!$G$8,((G570-J570-L570)-Datos!$F$8)*Datos!$I$6,IF((G570-J570-L570)&lt;=Datos!$G$9,Datos!$I$8+((G570-J570-L570)-Datos!$F$9)*Datos!$J$6,IF((G570-J570-L570)&gt;=Datos!$F$10,(Datos!$I$8+Datos!$J$8)+((G570-J570-L570)-Datos!$F$10)*Datos!$K$6))))</f>
        <v>5857.743666666669</v>
      </c>
      <c r="L570" s="163">
        <f>IF(G570&gt;=Datos!$D$15,(Datos!$D$15*Datos!$C$15),IF(G570&lt;=Datos!$D$15,(G570*Datos!$C$15)))</f>
        <v>2207.04</v>
      </c>
      <c r="M570" s="162">
        <v>25</v>
      </c>
      <c r="N570" s="162">
        <f t="shared" si="472"/>
        <v>10173.403666666669</v>
      </c>
      <c r="O570" s="191">
        <f t="shared" si="473"/>
        <v>62426.596333333335</v>
      </c>
    </row>
    <row r="571" spans="1:16" ht="36.75" customHeight="1" x14ac:dyDescent="0.2">
      <c r="A571" s="225">
        <v>467</v>
      </c>
      <c r="B571" s="226" t="s">
        <v>352</v>
      </c>
      <c r="C571" s="227" t="s">
        <v>284</v>
      </c>
      <c r="D571" s="99" t="s">
        <v>452</v>
      </c>
      <c r="E571" s="228" t="s">
        <v>280</v>
      </c>
      <c r="F571" s="228" t="s">
        <v>19</v>
      </c>
      <c r="G571" s="162">
        <v>35000</v>
      </c>
      <c r="H571" s="162">
        <v>0</v>
      </c>
      <c r="I571" s="162">
        <f t="shared" si="455"/>
        <v>35000</v>
      </c>
      <c r="J571" s="163">
        <f>IF(G571&gt;=Datos!$D$14,(Datos!$D$14*Datos!$C$14),IF(G571&lt;=Datos!$D$14,(G571*Datos!$C$14)))</f>
        <v>1004.5</v>
      </c>
      <c r="K571" s="164" t="str">
        <f>IF((G571-J571-L571)&lt;=Datos!$G$7,"0",IF((G571-J571-L571)&lt;=Datos!$G$8,((G571-J571-L571)-Datos!$F$8)*Datos!$I$6,IF((G571-J571-L571)&lt;=Datos!$G$9,Datos!$I$8+((G571-J571-L571)-Datos!$F$9)*Datos!$J$6,IF((G571-J571-L571)&gt;=Datos!$F$10,(Datos!$I$8+Datos!$J$8)+((G571-J571-L571)-Datos!$F$10)*Datos!$K$6))))</f>
        <v>0</v>
      </c>
      <c r="L571" s="163">
        <f>IF(G571&gt;=Datos!$D$15,(Datos!$D$15*Datos!$C$15),IF(G571&lt;=Datos!$D$15,(G571*Datos!$C$15)))</f>
        <v>1064</v>
      </c>
      <c r="M571" s="162">
        <v>1740.46</v>
      </c>
      <c r="N571" s="162">
        <f t="shared" ref="N571:N579" si="474">SUM(J571:M571)</f>
        <v>3808.96</v>
      </c>
      <c r="O571" s="191">
        <f t="shared" ref="O571:O579" si="475">+G571-N571</f>
        <v>31191.040000000001</v>
      </c>
    </row>
    <row r="572" spans="1:16" ht="36.75" customHeight="1" x14ac:dyDescent="0.2">
      <c r="A572" s="225">
        <v>468</v>
      </c>
      <c r="B572" s="226" t="s">
        <v>841</v>
      </c>
      <c r="C572" s="227" t="s">
        <v>284</v>
      </c>
      <c r="D572" s="99" t="s">
        <v>452</v>
      </c>
      <c r="E572" s="228" t="s">
        <v>280</v>
      </c>
      <c r="F572" s="228" t="s">
        <v>19</v>
      </c>
      <c r="G572" s="138">
        <v>35000</v>
      </c>
      <c r="H572" s="162">
        <v>0</v>
      </c>
      <c r="I572" s="162">
        <f t="shared" si="455"/>
        <v>35000</v>
      </c>
      <c r="J572" s="163">
        <f>IF(G572&gt;=Datos!$D$14,(Datos!$D$14*Datos!$C$14),IF(G572&lt;=Datos!$D$14,(G572*Datos!$C$14)))</f>
        <v>1004.5</v>
      </c>
      <c r="K572" s="164" t="str">
        <f>IF((G572-J572-L572)&lt;=Datos!$G$7,"0",IF((G572-J572-L572)&lt;=Datos!$G$8,((G572-J572-L572)-Datos!$F$8)*Datos!$I$6,IF((G572-J572-L572)&lt;=Datos!$G$9,Datos!$I$8+((G572-J572-L572)-Datos!$F$9)*Datos!$J$6,IF((G572-J572-L572)&gt;=Datos!$F$10,(Datos!$I$8+Datos!$J$8)+((G572-J572-L572)-Datos!$F$10)*Datos!$K$6))))</f>
        <v>0</v>
      </c>
      <c r="L572" s="163">
        <f>IF(G572&gt;=Datos!$D$15,(Datos!$D$15*Datos!$C$15),IF(G572&lt;=Datos!$D$15,(G572*Datos!$C$15)))</f>
        <v>1064</v>
      </c>
      <c r="M572" s="162">
        <v>25</v>
      </c>
      <c r="N572" s="162">
        <f t="shared" si="474"/>
        <v>2093.5</v>
      </c>
      <c r="O572" s="191">
        <f t="shared" si="475"/>
        <v>32906.5</v>
      </c>
      <c r="P572" s="13"/>
    </row>
    <row r="573" spans="1:16" ht="36.75" customHeight="1" x14ac:dyDescent="0.2">
      <c r="A573" s="225">
        <v>469</v>
      </c>
      <c r="B573" s="227" t="s">
        <v>559</v>
      </c>
      <c r="C573" s="227" t="s">
        <v>284</v>
      </c>
      <c r="D573" s="99" t="s">
        <v>870</v>
      </c>
      <c r="E573" s="228" t="s">
        <v>280</v>
      </c>
      <c r="F573" s="228" t="s">
        <v>19</v>
      </c>
      <c r="G573" s="162">
        <v>72600</v>
      </c>
      <c r="H573" s="162">
        <v>0</v>
      </c>
      <c r="I573" s="162">
        <f t="shared" si="455"/>
        <v>72600</v>
      </c>
      <c r="J573" s="163">
        <f>IF(G573&gt;=Datos!$D$14,(Datos!$D$14*Datos!$C$14),IF(G573&lt;=Datos!$D$14,(G573*Datos!$C$14)))</f>
        <v>2083.62</v>
      </c>
      <c r="K573" s="164">
        <f>IF((G573-J573-L573)&lt;=Datos!$G$7,"0",IF((G573-J573-L573)&lt;=Datos!$G$8,((G573-J573-L573)-Datos!$F$8)*Datos!$I$6,IF((G573-J573-L573)&lt;=Datos!$G$9,Datos!$I$8+((G573-J573-L573)-Datos!$F$9)*Datos!$J$6,IF((G573-J573-L573)&gt;=Datos!$F$10,(Datos!$I$8+Datos!$J$8)+((G573-J573-L573)-Datos!$F$10)*Datos!$K$6))))</f>
        <v>5857.743666666669</v>
      </c>
      <c r="L573" s="163">
        <f>IF(G573&gt;=Datos!$D$15,(Datos!$D$15*Datos!$C$15),IF(G573&lt;=Datos!$D$15,(G573*Datos!$C$15)))</f>
        <v>2207.04</v>
      </c>
      <c r="M573" s="162">
        <v>25</v>
      </c>
      <c r="N573" s="162">
        <f t="shared" si="474"/>
        <v>10173.403666666669</v>
      </c>
      <c r="O573" s="191">
        <f t="shared" si="475"/>
        <v>62426.596333333335</v>
      </c>
    </row>
    <row r="574" spans="1:16" ht="36.75" customHeight="1" x14ac:dyDescent="0.2">
      <c r="A574" s="225">
        <v>470</v>
      </c>
      <c r="B574" s="227" t="s">
        <v>100</v>
      </c>
      <c r="C574" s="227" t="s">
        <v>284</v>
      </c>
      <c r="D574" s="99" t="s">
        <v>607</v>
      </c>
      <c r="E574" s="228" t="s">
        <v>280</v>
      </c>
      <c r="F574" s="228" t="s">
        <v>281</v>
      </c>
      <c r="G574" s="162">
        <v>78650</v>
      </c>
      <c r="H574" s="162">
        <v>0</v>
      </c>
      <c r="I574" s="162">
        <f t="shared" si="455"/>
        <v>78650</v>
      </c>
      <c r="J574" s="163">
        <f>IF(G574&gt;=Datos!$D$14,(Datos!$D$14*Datos!$C$14),IF(G574&lt;=Datos!$D$14,(G574*Datos!$C$14)))</f>
        <v>2257.2550000000001</v>
      </c>
      <c r="K574" s="164">
        <v>6310.05</v>
      </c>
      <c r="L574" s="163">
        <f>IF(G574&gt;=Datos!$D$15,(Datos!$D$15*Datos!$C$15),IF(G574&lt;=Datos!$D$15,(G574*Datos!$C$15)))</f>
        <v>2390.96</v>
      </c>
      <c r="M574" s="162">
        <v>3455.92</v>
      </c>
      <c r="N574" s="162">
        <f t="shared" si="474"/>
        <v>14414.184999999999</v>
      </c>
      <c r="O574" s="191">
        <f t="shared" si="475"/>
        <v>64235.815000000002</v>
      </c>
    </row>
    <row r="575" spans="1:16" ht="36.75" customHeight="1" x14ac:dyDescent="0.2">
      <c r="A575" s="225">
        <v>471</v>
      </c>
      <c r="B575" s="227" t="s">
        <v>29</v>
      </c>
      <c r="C575" s="227" t="s">
        <v>284</v>
      </c>
      <c r="D575" s="99" t="s">
        <v>288</v>
      </c>
      <c r="E575" s="228" t="s">
        <v>280</v>
      </c>
      <c r="F575" s="228" t="s">
        <v>19</v>
      </c>
      <c r="G575" s="162">
        <v>72600</v>
      </c>
      <c r="H575" s="162">
        <v>0</v>
      </c>
      <c r="I575" s="162">
        <f t="shared" si="455"/>
        <v>72600</v>
      </c>
      <c r="J575" s="163">
        <f>IF(G575&gt;=Datos!$D$14,(Datos!$D$14*Datos!$C$14),IF(G575&lt;=Datos!$D$14,(G575*Datos!$C$14)))</f>
        <v>2083.62</v>
      </c>
      <c r="K575" s="164">
        <f>IF((G575-J575-L575)&lt;=Datos!$G$7,"0",IF((G575-J575-L575)&lt;=Datos!$G$8,((G575-J575-L575)-Datos!$F$8)*Datos!$I$6,IF((G575-J575-L575)&lt;=Datos!$G$9,Datos!$I$8+((G575-J575-L575)-Datos!$F$9)*Datos!$J$6,IF((G575-J575-L575)&gt;=Datos!$F$10,(Datos!$I$8+Datos!$J$8)+((G575-J575-L575)-Datos!$F$10)*Datos!$K$6))))</f>
        <v>5857.743666666669</v>
      </c>
      <c r="L575" s="163">
        <f>IF(G575&gt;=Datos!$D$15,(Datos!$D$15*Datos!$C$15),IF(G575&lt;=Datos!$D$15,(G575*Datos!$C$15)))</f>
        <v>2207.04</v>
      </c>
      <c r="M575" s="162">
        <v>25</v>
      </c>
      <c r="N575" s="162">
        <f t="shared" si="474"/>
        <v>10173.403666666669</v>
      </c>
      <c r="O575" s="191">
        <f t="shared" si="475"/>
        <v>62426.596333333335</v>
      </c>
    </row>
    <row r="576" spans="1:16" ht="36.75" customHeight="1" x14ac:dyDescent="0.2">
      <c r="A576" s="225">
        <v>472</v>
      </c>
      <c r="B576" s="227" t="s">
        <v>275</v>
      </c>
      <c r="C576" s="227" t="s">
        <v>284</v>
      </c>
      <c r="D576" s="99" t="s">
        <v>870</v>
      </c>
      <c r="E576" s="228" t="s">
        <v>280</v>
      </c>
      <c r="F576" s="228" t="s">
        <v>19</v>
      </c>
      <c r="G576" s="162">
        <v>72600</v>
      </c>
      <c r="H576" s="162">
        <v>0</v>
      </c>
      <c r="I576" s="162">
        <f t="shared" si="455"/>
        <v>72600</v>
      </c>
      <c r="J576" s="163">
        <f>IF(G576&gt;=Datos!$D$14,(Datos!$D$14*Datos!$C$14),IF(G576&lt;=Datos!$D$14,(G576*Datos!$C$14)))</f>
        <v>2083.62</v>
      </c>
      <c r="K576" s="164">
        <f>IF((G576-J576-L576)&lt;=Datos!$G$7,"0",IF((G576-J576-L576)&lt;=Datos!$G$8,((G576-J576-L576)-Datos!$F$8)*Datos!$I$6,IF((G576-J576-L576)&lt;=Datos!$G$9,Datos!$I$8+((G576-J576-L576)-Datos!$F$9)*Datos!$J$6,IF((G576-J576-L576)&gt;=Datos!$F$10,(Datos!$I$8+Datos!$J$8)+((G576-J576-L576)-Datos!$F$10)*Datos!$K$6))))</f>
        <v>5857.743666666669</v>
      </c>
      <c r="L576" s="163">
        <f>IF(G576&gt;=Datos!$D$15,(Datos!$D$15*Datos!$C$15),IF(G576&lt;=Datos!$D$15,(G576*Datos!$C$15)))</f>
        <v>2207.04</v>
      </c>
      <c r="M576" s="162">
        <v>25</v>
      </c>
      <c r="N576" s="162">
        <f t="shared" si="474"/>
        <v>10173.403666666669</v>
      </c>
      <c r="O576" s="191">
        <f t="shared" si="475"/>
        <v>62426.596333333335</v>
      </c>
    </row>
    <row r="577" spans="1:15" ht="36.75" customHeight="1" x14ac:dyDescent="0.2">
      <c r="A577" s="225">
        <v>473</v>
      </c>
      <c r="B577" s="227" t="s">
        <v>842</v>
      </c>
      <c r="C577" s="227" t="s">
        <v>284</v>
      </c>
      <c r="D577" s="99" t="s">
        <v>870</v>
      </c>
      <c r="E577" s="228" t="s">
        <v>280</v>
      </c>
      <c r="F577" s="228" t="s">
        <v>19</v>
      </c>
      <c r="G577" s="162">
        <v>78650</v>
      </c>
      <c r="H577" s="162">
        <v>0</v>
      </c>
      <c r="I577" s="162">
        <f t="shared" si="455"/>
        <v>78650</v>
      </c>
      <c r="J577" s="163">
        <f>IF(G577&gt;=Datos!$D$14,(Datos!$D$14*Datos!$C$14),IF(G577&lt;=Datos!$D$14,(G577*Datos!$C$14)))</f>
        <v>2257.2550000000001</v>
      </c>
      <c r="K577" s="164">
        <v>6654.45</v>
      </c>
      <c r="L577" s="163">
        <f>IF(G577&gt;=Datos!$D$15,(Datos!$D$15*Datos!$C$15),IF(G577&lt;=Datos!$D$15,(G577*Datos!$C$15)))</f>
        <v>2390.96</v>
      </c>
      <c r="M577" s="162">
        <v>7740.46</v>
      </c>
      <c r="N577" s="162">
        <f t="shared" si="474"/>
        <v>19043.125</v>
      </c>
      <c r="O577" s="191">
        <f t="shared" si="475"/>
        <v>59606.875</v>
      </c>
    </row>
    <row r="578" spans="1:15" ht="36.75" customHeight="1" x14ac:dyDescent="0.2">
      <c r="A578" s="225">
        <v>474</v>
      </c>
      <c r="B578" s="227" t="s">
        <v>93</v>
      </c>
      <c r="C578" s="227" t="s">
        <v>284</v>
      </c>
      <c r="D578" s="99" t="s">
        <v>288</v>
      </c>
      <c r="E578" s="228" t="s">
        <v>280</v>
      </c>
      <c r="F578" s="228" t="s">
        <v>281</v>
      </c>
      <c r="G578" s="162">
        <v>86711.63</v>
      </c>
      <c r="H578" s="162">
        <v>0</v>
      </c>
      <c r="I578" s="162">
        <f t="shared" si="455"/>
        <v>86711.63</v>
      </c>
      <c r="J578" s="163">
        <f>IF(G578&gt;=Datos!$D$14,(Datos!$D$14*Datos!$C$14),IF(G578&lt;=Datos!$D$14,(G578*Datos!$C$14)))</f>
        <v>2488.6237810000002</v>
      </c>
      <c r="K578" s="164">
        <f>IF((G578-J578-L578)&lt;=Datos!$G$7,"0",IF((G578-J578-L578)&lt;=Datos!$G$8,((G578-J578-L578)-Datos!$F$8)*Datos!$I$6,IF((G578-J578-L578)&lt;=Datos!$G$9,Datos!$I$8+((G578-J578-L578)-Datos!$F$9)*Datos!$J$6,IF((G578-J578-L578)&gt;=Datos!$F$10,(Datos!$I$8+Datos!$J$8)+((G578-J578-L578)-Datos!$F$10)*Datos!$K$6))))</f>
        <v>8979.6038334166697</v>
      </c>
      <c r="L578" s="163">
        <f>IF(G578&gt;=Datos!$D$15,(Datos!$D$15*Datos!$C$15),IF(G578&lt;=Datos!$D$15,(G578*Datos!$C$15)))</f>
        <v>2636.0335520000003</v>
      </c>
      <c r="M578" s="162">
        <v>7340.14</v>
      </c>
      <c r="N578" s="162">
        <f t="shared" si="474"/>
        <v>21444.401166416672</v>
      </c>
      <c r="O578" s="191">
        <f t="shared" si="475"/>
        <v>65267.228833583329</v>
      </c>
    </row>
    <row r="579" spans="1:15" ht="36.75" customHeight="1" x14ac:dyDescent="0.2">
      <c r="A579" s="225">
        <v>475</v>
      </c>
      <c r="B579" s="227" t="s">
        <v>298</v>
      </c>
      <c r="C579" s="227" t="s">
        <v>284</v>
      </c>
      <c r="D579" s="99" t="s">
        <v>710</v>
      </c>
      <c r="E579" s="228" t="s">
        <v>280</v>
      </c>
      <c r="F579" s="228" t="s">
        <v>19</v>
      </c>
      <c r="G579" s="162">
        <v>72600</v>
      </c>
      <c r="H579" s="162">
        <v>0</v>
      </c>
      <c r="I579" s="162">
        <f t="shared" si="455"/>
        <v>72600</v>
      </c>
      <c r="J579" s="163">
        <f>IF(G579&gt;=Datos!$D$14,(Datos!$D$14*Datos!$C$14),IF(G579&lt;=Datos!$D$14,(G579*Datos!$C$14)))</f>
        <v>2083.62</v>
      </c>
      <c r="K579" s="164">
        <f>IF((G579-J579-L579)&lt;=Datos!$G$7,"0",IF((G579-J579-L579)&lt;=Datos!$G$8,((G579-J579-L579)-Datos!$F$8)*Datos!$I$6,IF((G579-J579-L579)&lt;=Datos!$G$9,Datos!$I$8+((G579-J579-L579)-Datos!$F$9)*Datos!$J$6,IF((G579-J579-L579)&gt;=Datos!$F$10,(Datos!$I$8+Datos!$J$8)+((G579-J579-L579)-Datos!$F$10)*Datos!$K$6))))</f>
        <v>5857.743666666669</v>
      </c>
      <c r="L579" s="163">
        <f>IF(G579&gt;=Datos!$D$15,(Datos!$D$15*Datos!$C$15),IF(G579&lt;=Datos!$D$15,(G579*Datos!$C$15)))</f>
        <v>2207.04</v>
      </c>
      <c r="M579" s="162">
        <v>25</v>
      </c>
      <c r="N579" s="162">
        <f t="shared" si="474"/>
        <v>10173.403666666669</v>
      </c>
      <c r="O579" s="191">
        <f t="shared" si="475"/>
        <v>62426.596333333335</v>
      </c>
    </row>
    <row r="580" spans="1:15" ht="36.75" customHeight="1" x14ac:dyDescent="0.2">
      <c r="A580" s="225">
        <v>476</v>
      </c>
      <c r="B580" s="227" t="s">
        <v>206</v>
      </c>
      <c r="C580" s="227" t="s">
        <v>284</v>
      </c>
      <c r="D580" s="99" t="s">
        <v>710</v>
      </c>
      <c r="E580" s="228" t="s">
        <v>280</v>
      </c>
      <c r="F580" s="228" t="s">
        <v>19</v>
      </c>
      <c r="G580" s="162">
        <v>82582.5</v>
      </c>
      <c r="H580" s="162">
        <v>0</v>
      </c>
      <c r="I580" s="162">
        <f t="shared" ref="I580" si="476">SUM(G580:H580)</f>
        <v>82582.5</v>
      </c>
      <c r="J580" s="163">
        <f>IF(G580&gt;=Datos!$D$14,(Datos!$D$14*Datos!$C$14),IF(G580&lt;=Datos!$D$14,(G580*Datos!$C$14)))</f>
        <v>2370.1177499999999</v>
      </c>
      <c r="K580" s="164">
        <f>IF((G580-J580-L580)&lt;=Datos!$G$7,"0",IF((G580-J580-L580)&lt;=Datos!$G$8,((G580-J580-L580)-Datos!$F$8)*Datos!$I$6,IF((G580-J580-L580)&lt;=Datos!$G$9,Datos!$I$8+((G580-J580-L580)-Datos!$F$9)*Datos!$J$6,IF((G580-J580-L580)&gt;=Datos!$F$10,(Datos!$I$8+Datos!$J$8)+((G580-J580-L580)-Datos!$F$10)*Datos!$K$6))))</f>
        <v>8008.3292291666658</v>
      </c>
      <c r="L580" s="163">
        <f>IF(G580&gt;=Datos!$D$15,(Datos!$D$15*Datos!$C$15),IF(G580&lt;=Datos!$D$15,(G580*Datos!$C$15)))</f>
        <v>2510.5079999999998</v>
      </c>
      <c r="M580" s="162">
        <v>25</v>
      </c>
      <c r="N580" s="162">
        <f t="shared" ref="N580" si="477">SUM(J580:M580)</f>
        <v>12913.954979166665</v>
      </c>
      <c r="O580" s="191">
        <f t="shared" ref="O580" si="478">+G580-N580</f>
        <v>69668.545020833335</v>
      </c>
    </row>
    <row r="581" spans="1:15" ht="36.75" customHeight="1" x14ac:dyDescent="0.2">
      <c r="A581" s="225">
        <v>477</v>
      </c>
      <c r="B581" s="227" t="s">
        <v>35</v>
      </c>
      <c r="C581" s="227" t="s">
        <v>284</v>
      </c>
      <c r="D581" s="99" t="s">
        <v>607</v>
      </c>
      <c r="E581" s="228" t="s">
        <v>280</v>
      </c>
      <c r="F581" s="228" t="s">
        <v>281</v>
      </c>
      <c r="G581" s="162">
        <v>78650</v>
      </c>
      <c r="H581" s="162">
        <v>0</v>
      </c>
      <c r="I581" s="162">
        <f t="shared" ref="I581:I597" si="479">SUM(G581:H581)</f>
        <v>78650</v>
      </c>
      <c r="J581" s="163">
        <f>IF(G581&gt;=Datos!$D$14,(Datos!$D$14*Datos!$C$14),IF(G581&lt;=Datos!$D$14,(G581*Datos!$C$14)))</f>
        <v>2257.2550000000001</v>
      </c>
      <c r="K581" s="164">
        <f>IF((G581-J581-L581)&lt;=Datos!$G$7,"0",IF((G581-J581-L581)&lt;=Datos!$G$8,((G581-J581-L581)-Datos!$F$8)*Datos!$I$6,IF((G581-J581-L581)&lt;=Datos!$G$9,Datos!$I$8+((G581-J581-L581)-Datos!$F$9)*Datos!$J$6,IF((G581-J581-L581)&gt;=Datos!$F$10,(Datos!$I$8+Datos!$J$8)+((G581-J581-L581)-Datos!$F$10)*Datos!$K$6))))</f>
        <v>7083.3069166666646</v>
      </c>
      <c r="L581" s="163">
        <f>IF(G581&gt;=Datos!$D$15,(Datos!$D$15*Datos!$C$15),IF(G581&lt;=Datos!$D$15,(G581*Datos!$C$15)))</f>
        <v>2390.96</v>
      </c>
      <c r="M581" s="162">
        <v>25</v>
      </c>
      <c r="N581" s="162">
        <f t="shared" ref="N581:N597" si="480">SUM(J581:M581)</f>
        <v>11756.521916666665</v>
      </c>
      <c r="O581" s="191">
        <f t="shared" ref="O581:O597" si="481">+G581-N581</f>
        <v>66893.478083333335</v>
      </c>
    </row>
    <row r="582" spans="1:15" ht="36.75" customHeight="1" x14ac:dyDescent="0.2">
      <c r="A582" s="225">
        <v>478</v>
      </c>
      <c r="B582" s="227" t="s">
        <v>169</v>
      </c>
      <c r="C582" s="227" t="s">
        <v>284</v>
      </c>
      <c r="D582" s="99" t="s">
        <v>870</v>
      </c>
      <c r="E582" s="228" t="s">
        <v>280</v>
      </c>
      <c r="F582" s="228" t="s">
        <v>19</v>
      </c>
      <c r="G582" s="162">
        <v>78650</v>
      </c>
      <c r="H582" s="162">
        <v>0</v>
      </c>
      <c r="I582" s="162">
        <f t="shared" si="479"/>
        <v>78650</v>
      </c>
      <c r="J582" s="163">
        <f>IF(G582&gt;=Datos!$D$14,(Datos!$D$14*Datos!$C$14),IF(G582&lt;=Datos!$D$14,(G582*Datos!$C$14)))</f>
        <v>2257.2550000000001</v>
      </c>
      <c r="K582" s="164">
        <f>IF((G582-J582-L582)&lt;=Datos!$G$7,"0",IF((G582-J582-L582)&lt;=Datos!$G$8,((G582-J582-L582)-Datos!$F$8)*Datos!$I$6,IF((G582-J582-L582)&lt;=Datos!$G$9,Datos!$I$8+((G582-J582-L582)-Datos!$F$9)*Datos!$J$6,IF((G582-J582-L582)&gt;=Datos!$F$10,(Datos!$I$8+Datos!$J$8)+((G582-J582-L582)-Datos!$F$10)*Datos!$K$6))))</f>
        <v>7083.3069166666646</v>
      </c>
      <c r="L582" s="163">
        <f>IF(G582&gt;=Datos!$D$15,(Datos!$D$15*Datos!$C$15),IF(G582&lt;=Datos!$D$15,(G582*Datos!$C$15)))</f>
        <v>2390.96</v>
      </c>
      <c r="M582" s="162">
        <v>25</v>
      </c>
      <c r="N582" s="162">
        <f t="shared" si="480"/>
        <v>11756.521916666665</v>
      </c>
      <c r="O582" s="191">
        <f t="shared" si="481"/>
        <v>66893.478083333335</v>
      </c>
    </row>
    <row r="583" spans="1:15" ht="36.75" customHeight="1" x14ac:dyDescent="0.2">
      <c r="A583" s="225">
        <v>479</v>
      </c>
      <c r="B583" s="227" t="s">
        <v>138</v>
      </c>
      <c r="C583" s="227" t="s">
        <v>284</v>
      </c>
      <c r="D583" s="99" t="s">
        <v>1056</v>
      </c>
      <c r="E583" s="228" t="s">
        <v>280</v>
      </c>
      <c r="F583" s="228" t="s">
        <v>19</v>
      </c>
      <c r="G583" s="162">
        <v>80000</v>
      </c>
      <c r="H583" s="162">
        <v>0</v>
      </c>
      <c r="I583" s="162">
        <f t="shared" si="479"/>
        <v>80000</v>
      </c>
      <c r="J583" s="163">
        <f>IF(G583&gt;=Datos!$D$14,(Datos!$D$14*Datos!$C$14),IF(G583&lt;=Datos!$D$14,(G583*Datos!$C$14)))</f>
        <v>2296</v>
      </c>
      <c r="K583" s="164">
        <f>IF((G583-J583-L583)&lt;=Datos!$G$7,"0",IF((G583-J583-L583)&lt;=Datos!$G$8,((G583-J583-L583)-Datos!$F$8)*Datos!$I$6,IF((G583-J583-L583)&lt;=Datos!$G$9,Datos!$I$8+((G583-J583-L583)-Datos!$F$9)*Datos!$J$6,IF((G583-J583-L583)&gt;=Datos!$F$10,(Datos!$I$8+Datos!$J$8)+((G583-J583-L583)-Datos!$F$10)*Datos!$K$6))))</f>
        <v>7400.8606666666674</v>
      </c>
      <c r="L583" s="163">
        <f>IF(G583&gt;=Datos!$D$15,(Datos!$D$15*Datos!$C$15),IF(G583&lt;=Datos!$D$15,(G583*Datos!$C$15)))</f>
        <v>2432</v>
      </c>
      <c r="M583" s="162">
        <v>25</v>
      </c>
      <c r="N583" s="162">
        <f t="shared" si="480"/>
        <v>12153.860666666667</v>
      </c>
      <c r="O583" s="191">
        <f t="shared" si="481"/>
        <v>67846.139333333325</v>
      </c>
    </row>
    <row r="584" spans="1:15" ht="36.75" customHeight="1" x14ac:dyDescent="0.2">
      <c r="A584" s="225">
        <v>480</v>
      </c>
      <c r="B584" s="227" t="s">
        <v>273</v>
      </c>
      <c r="C584" s="227" t="s">
        <v>284</v>
      </c>
      <c r="D584" s="99" t="s">
        <v>622</v>
      </c>
      <c r="E584" s="228" t="s">
        <v>280</v>
      </c>
      <c r="F584" s="228" t="s">
        <v>19</v>
      </c>
      <c r="G584" s="162">
        <v>72600</v>
      </c>
      <c r="H584" s="162">
        <v>0</v>
      </c>
      <c r="I584" s="162">
        <f t="shared" si="479"/>
        <v>72600</v>
      </c>
      <c r="J584" s="163">
        <f>IF(G584&gt;=Datos!$D$14,(Datos!$D$14*Datos!$C$14),IF(G584&lt;=Datos!$D$14,(G584*Datos!$C$14)))</f>
        <v>2083.62</v>
      </c>
      <c r="K584" s="164">
        <f>IF((G584-J584-L584)&lt;=Datos!$G$7,"0",IF((G584-J584-L584)&lt;=Datos!$G$8,((G584-J584-L584)-Datos!$F$8)*Datos!$I$6,IF((G584-J584-L584)&lt;=Datos!$G$9,Datos!$I$8+((G584-J584-L584)-Datos!$F$9)*Datos!$J$6,IF((G584-J584-L584)&gt;=Datos!$F$10,(Datos!$I$8+Datos!$J$8)+((G584-J584-L584)-Datos!$F$10)*Datos!$K$6))))</f>
        <v>5857.743666666669</v>
      </c>
      <c r="L584" s="163">
        <f>IF(G584&gt;=Datos!$D$15,(Datos!$D$15*Datos!$C$15),IF(G584&lt;=Datos!$D$15,(G584*Datos!$C$15)))</f>
        <v>2207.04</v>
      </c>
      <c r="M584" s="162">
        <v>25</v>
      </c>
      <c r="N584" s="162">
        <f t="shared" si="480"/>
        <v>10173.403666666669</v>
      </c>
      <c r="O584" s="191">
        <f t="shared" si="481"/>
        <v>62426.596333333335</v>
      </c>
    </row>
    <row r="585" spans="1:15" ht="36.75" customHeight="1" x14ac:dyDescent="0.2">
      <c r="A585" s="225">
        <v>481</v>
      </c>
      <c r="B585" s="227" t="s">
        <v>152</v>
      </c>
      <c r="C585" s="227" t="s">
        <v>284</v>
      </c>
      <c r="D585" s="99" t="s">
        <v>452</v>
      </c>
      <c r="E585" s="228" t="s">
        <v>280</v>
      </c>
      <c r="F585" s="228" t="s">
        <v>19</v>
      </c>
      <c r="G585" s="162">
        <v>35000</v>
      </c>
      <c r="H585" s="162">
        <v>0</v>
      </c>
      <c r="I585" s="162">
        <f t="shared" si="479"/>
        <v>35000</v>
      </c>
      <c r="J585" s="163">
        <f>IF(G585&gt;=Datos!$D$14,(Datos!$D$14*Datos!$C$14),IF(G585&lt;=Datos!$D$14,(G585*Datos!$C$14)))</f>
        <v>1004.5</v>
      </c>
      <c r="K585" s="164" t="str">
        <f>IF((G585-J585-L585)&lt;=Datos!$G$7,"0",IF((G585-J585-L585)&lt;=Datos!$G$8,((G585-J585-L585)-Datos!$F$8)*Datos!$I$6,IF((G585-J585-L585)&lt;=Datos!$G$9,Datos!$I$8+((G585-J585-L585)-Datos!$F$9)*Datos!$J$6,IF((G585-J585-L585)&gt;=Datos!$F$10,(Datos!$I$8+Datos!$J$8)+((G585-J585-L585)-Datos!$F$10)*Datos!$K$6))))</f>
        <v>0</v>
      </c>
      <c r="L585" s="163">
        <f>IF(G585&gt;=Datos!$D$15,(Datos!$D$15*Datos!$C$15),IF(G585&lt;=Datos!$D$15,(G585*Datos!$C$15)))</f>
        <v>1064</v>
      </c>
      <c r="M585" s="162">
        <v>25</v>
      </c>
      <c r="N585" s="162">
        <f t="shared" si="480"/>
        <v>2093.5</v>
      </c>
      <c r="O585" s="191">
        <f t="shared" si="481"/>
        <v>32906.5</v>
      </c>
    </row>
    <row r="586" spans="1:15" ht="36.75" customHeight="1" x14ac:dyDescent="0.2">
      <c r="A586" s="225">
        <v>482</v>
      </c>
      <c r="B586" s="227" t="s">
        <v>34</v>
      </c>
      <c r="C586" s="227" t="s">
        <v>284</v>
      </c>
      <c r="D586" s="99" t="s">
        <v>623</v>
      </c>
      <c r="E586" s="228" t="s">
        <v>280</v>
      </c>
      <c r="F586" s="228" t="s">
        <v>19</v>
      </c>
      <c r="G586" s="162">
        <v>86711.63</v>
      </c>
      <c r="H586" s="162">
        <v>0</v>
      </c>
      <c r="I586" s="162">
        <f t="shared" si="479"/>
        <v>86711.63</v>
      </c>
      <c r="J586" s="163">
        <f>IF(G586&gt;=Datos!$D$14,(Datos!$D$14*Datos!$C$14),IF(G586&lt;=Datos!$D$14,(G586*Datos!$C$14)))</f>
        <v>2488.6237810000002</v>
      </c>
      <c r="K586" s="164">
        <v>8550.75</v>
      </c>
      <c r="L586" s="163">
        <f>IF(G586&gt;=Datos!$D$15,(Datos!$D$15*Datos!$C$15),IF(G586&lt;=Datos!$D$15,(G586*Datos!$C$15)))</f>
        <v>2636.0335520000003</v>
      </c>
      <c r="M586" s="162">
        <v>1740.46</v>
      </c>
      <c r="N586" s="162">
        <f t="shared" si="480"/>
        <v>15415.867333000002</v>
      </c>
      <c r="O586" s="191">
        <f t="shared" si="481"/>
        <v>71295.762667000003</v>
      </c>
    </row>
    <row r="587" spans="1:15" ht="36.75" customHeight="1" x14ac:dyDescent="0.2">
      <c r="A587" s="225">
        <v>483</v>
      </c>
      <c r="B587" s="227" t="s">
        <v>205</v>
      </c>
      <c r="C587" s="227" t="s">
        <v>284</v>
      </c>
      <c r="D587" s="99" t="s">
        <v>607</v>
      </c>
      <c r="E587" s="228" t="s">
        <v>280</v>
      </c>
      <c r="F587" s="228" t="s">
        <v>19</v>
      </c>
      <c r="G587" s="162">
        <v>78650</v>
      </c>
      <c r="H587" s="162">
        <v>0</v>
      </c>
      <c r="I587" s="162">
        <f t="shared" si="479"/>
        <v>78650</v>
      </c>
      <c r="J587" s="163">
        <f>IF(G587&gt;=Datos!$D$14,(Datos!$D$14*Datos!$C$14),IF(G587&lt;=Datos!$D$14,(G587*Datos!$C$14)))</f>
        <v>2257.2550000000001</v>
      </c>
      <c r="K587" s="164">
        <f>IF((G587-J587-L587)&lt;=Datos!$G$7,"0",IF((G587-J587-L587)&lt;=Datos!$G$8,((G587-J587-L587)-Datos!$F$8)*Datos!$I$6,IF((G587-J587-L587)&lt;=Datos!$G$9,Datos!$I$8+((G587-J587-L587)-Datos!$F$9)*Datos!$J$6,IF((G587-J587-L587)&gt;=Datos!$F$10,(Datos!$I$8+Datos!$J$8)+((G587-J587-L587)-Datos!$F$10)*Datos!$K$6))))</f>
        <v>7083.3069166666646</v>
      </c>
      <c r="L587" s="163">
        <f>IF(G587&gt;=Datos!$D$15,(Datos!$D$15*Datos!$C$15),IF(G587&lt;=Datos!$D$15,(G587*Datos!$C$15)))</f>
        <v>2390.96</v>
      </c>
      <c r="M587" s="162">
        <v>25</v>
      </c>
      <c r="N587" s="162">
        <f t="shared" si="480"/>
        <v>11756.521916666665</v>
      </c>
      <c r="O587" s="191">
        <f t="shared" si="481"/>
        <v>66893.478083333335</v>
      </c>
    </row>
    <row r="588" spans="1:15" ht="36.75" customHeight="1" x14ac:dyDescent="0.2">
      <c r="A588" s="225">
        <v>484</v>
      </c>
      <c r="B588" s="227" t="s">
        <v>90</v>
      </c>
      <c r="C588" s="227" t="s">
        <v>284</v>
      </c>
      <c r="D588" s="99" t="s">
        <v>870</v>
      </c>
      <c r="E588" s="228" t="s">
        <v>280</v>
      </c>
      <c r="F588" s="228" t="s">
        <v>19</v>
      </c>
      <c r="G588" s="162">
        <v>78650</v>
      </c>
      <c r="H588" s="162">
        <v>0</v>
      </c>
      <c r="I588" s="162">
        <f t="shared" si="479"/>
        <v>78650</v>
      </c>
      <c r="J588" s="163">
        <f>IF(G588&gt;=Datos!$D$14,(Datos!$D$14*Datos!$C$14),IF(G588&lt;=Datos!$D$14,(G588*Datos!$C$14)))</f>
        <v>2257.2550000000001</v>
      </c>
      <c r="K588" s="164">
        <f>IF((G588-J588-L588)&lt;=Datos!$G$7,"0",IF((G588-J588-L588)&lt;=Datos!$G$8,((G588-J588-L588)-Datos!$F$8)*Datos!$I$6,IF((G588-J588-L588)&lt;=Datos!$G$9,Datos!$I$8+((G588-J588-L588)-Datos!$F$9)*Datos!$J$6,IF((G588-J588-L588)&gt;=Datos!$F$10,(Datos!$I$8+Datos!$J$8)+((G588-J588-L588)-Datos!$F$10)*Datos!$K$6))))</f>
        <v>7083.3069166666646</v>
      </c>
      <c r="L588" s="163">
        <f>IF(G588&gt;=Datos!$D$15,(Datos!$D$15*Datos!$C$15),IF(G588&lt;=Datos!$D$15,(G588*Datos!$C$15)))</f>
        <v>2390.96</v>
      </c>
      <c r="M588" s="162">
        <v>25</v>
      </c>
      <c r="N588" s="162">
        <f t="shared" si="480"/>
        <v>11756.521916666665</v>
      </c>
      <c r="O588" s="191">
        <f t="shared" si="481"/>
        <v>66893.478083333335</v>
      </c>
    </row>
    <row r="589" spans="1:15" ht="36.75" customHeight="1" x14ac:dyDescent="0.2">
      <c r="A589" s="225">
        <v>485</v>
      </c>
      <c r="B589" s="227" t="s">
        <v>84</v>
      </c>
      <c r="C589" s="227" t="s">
        <v>284</v>
      </c>
      <c r="D589" s="99" t="s">
        <v>452</v>
      </c>
      <c r="E589" s="228" t="s">
        <v>280</v>
      </c>
      <c r="F589" s="228" t="s">
        <v>19</v>
      </c>
      <c r="G589" s="162">
        <v>35000</v>
      </c>
      <c r="H589" s="162">
        <v>0</v>
      </c>
      <c r="I589" s="162">
        <f t="shared" si="479"/>
        <v>35000</v>
      </c>
      <c r="J589" s="163">
        <f>IF(G589&gt;=Datos!$D$14,(Datos!$D$14*Datos!$C$14),IF(G589&lt;=Datos!$D$14,(G589*Datos!$C$14)))</f>
        <v>1004.5</v>
      </c>
      <c r="K589" s="164" t="str">
        <f>IF((G589-J589-L589)&lt;=Datos!$G$7,"0",IF((G589-J589-L589)&lt;=Datos!$G$8,((G589-J589-L589)-Datos!$F$8)*Datos!$I$6,IF((G589-J589-L589)&lt;=Datos!$G$9,Datos!$I$8+((G589-J589-L589)-Datos!$F$9)*Datos!$J$6,IF((G589-J589-L589)&gt;=Datos!$F$10,(Datos!$I$8+Datos!$J$8)+((G589-J589-L589)-Datos!$F$10)*Datos!$K$6))))</f>
        <v>0</v>
      </c>
      <c r="L589" s="163">
        <f>IF(G589&gt;=Datos!$D$15,(Datos!$D$15*Datos!$C$15),IF(G589&lt;=Datos!$D$15,(G589*Datos!$C$15)))</f>
        <v>1064</v>
      </c>
      <c r="M589" s="162">
        <v>6740.46</v>
      </c>
      <c r="N589" s="162">
        <f t="shared" si="480"/>
        <v>8808.9599999999991</v>
      </c>
      <c r="O589" s="191">
        <f t="shared" si="481"/>
        <v>26191.040000000001</v>
      </c>
    </row>
    <row r="590" spans="1:15" ht="36.75" customHeight="1" x14ac:dyDescent="0.2">
      <c r="A590" s="225">
        <v>486</v>
      </c>
      <c r="B590" s="227" t="s">
        <v>226</v>
      </c>
      <c r="C590" s="227" t="s">
        <v>284</v>
      </c>
      <c r="D590" s="99" t="s">
        <v>452</v>
      </c>
      <c r="E590" s="228" t="s">
        <v>280</v>
      </c>
      <c r="F590" s="228" t="s">
        <v>19</v>
      </c>
      <c r="G590" s="162">
        <v>35000</v>
      </c>
      <c r="H590" s="162">
        <v>0</v>
      </c>
      <c r="I590" s="162">
        <f t="shared" ref="I590:I593" si="482">SUM(G590:H590)</f>
        <v>35000</v>
      </c>
      <c r="J590" s="163">
        <f>IF(G590&gt;=Datos!$D$14,(Datos!$D$14*Datos!$C$14),IF(G590&lt;=Datos!$D$14,(G590*Datos!$C$14)))</f>
        <v>1004.5</v>
      </c>
      <c r="K590" s="164" t="str">
        <f>IF((G590-J590-L590)&lt;=Datos!$G$7,"0",IF((G590-J590-L590)&lt;=Datos!$G$8,((G590-J590-L590)-Datos!$F$8)*Datos!$I$6,IF((G590-J590-L590)&lt;=Datos!$G$9,Datos!$I$8+((G590-J590-L590)-Datos!$F$9)*Datos!$J$6,IF((G590-J590-L590)&gt;=Datos!$F$10,(Datos!$I$8+Datos!$J$8)+((G590-J590-L590)-Datos!$F$10)*Datos!$K$6))))</f>
        <v>0</v>
      </c>
      <c r="L590" s="163">
        <f>IF(G590&gt;=Datos!$D$15,(Datos!$D$15*Datos!$C$15),IF(G590&lt;=Datos!$D$15,(G590*Datos!$C$15)))</f>
        <v>1064</v>
      </c>
      <c r="M590" s="162">
        <v>2025</v>
      </c>
      <c r="N590" s="162">
        <f t="shared" ref="N590:N593" si="483">SUM(J590:M590)</f>
        <v>4093.5</v>
      </c>
      <c r="O590" s="191">
        <f t="shared" ref="O590:O593" si="484">+G590-N590</f>
        <v>30906.5</v>
      </c>
    </row>
    <row r="591" spans="1:15" ht="36.75" customHeight="1" x14ac:dyDescent="0.2">
      <c r="A591" s="225">
        <v>487</v>
      </c>
      <c r="B591" s="227" t="s">
        <v>293</v>
      </c>
      <c r="C591" s="227" t="s">
        <v>284</v>
      </c>
      <c r="D591" s="99" t="s">
        <v>710</v>
      </c>
      <c r="E591" s="228" t="s">
        <v>280</v>
      </c>
      <c r="F591" s="228" t="s">
        <v>19</v>
      </c>
      <c r="G591" s="162">
        <f>35000+25000</f>
        <v>60000</v>
      </c>
      <c r="H591" s="162">
        <v>0</v>
      </c>
      <c r="I591" s="162">
        <f t="shared" si="482"/>
        <v>60000</v>
      </c>
      <c r="J591" s="163">
        <f>IF(G591&gt;=Datos!$D$14,(Datos!$D$14*Datos!$C$14),IF(G591&lt;=Datos!$D$14,(G591*Datos!$C$14)))</f>
        <v>1722</v>
      </c>
      <c r="K591" s="164">
        <f>IF((G591-J591-L591)&lt;=Datos!$G$7,"0",IF((G591-J591-L591)&lt;=Datos!$G$8,((G591-J591-L591)-Datos!$F$8)*Datos!$I$6,IF((G591-J591-L591)&lt;=Datos!$G$9,Datos!$I$8+((G591-J591-L591)-Datos!$F$9)*Datos!$J$6,IF((G591-J591-L591)&gt;=Datos!$F$10,(Datos!$I$8+Datos!$J$8)+((G591-J591-L591)-Datos!$F$10)*Datos!$K$6))))</f>
        <v>3486.6756666666661</v>
      </c>
      <c r="L591" s="163">
        <f>IF(G591&gt;=Datos!$D$15,(Datos!$D$15*Datos!$C$15),IF(G591&lt;=Datos!$D$15,(G591*Datos!$C$15)))</f>
        <v>1824</v>
      </c>
      <c r="M591" s="162">
        <v>25</v>
      </c>
      <c r="N591" s="162">
        <f t="shared" si="483"/>
        <v>7057.6756666666661</v>
      </c>
      <c r="O591" s="191">
        <f t="shared" si="484"/>
        <v>52942.324333333338</v>
      </c>
    </row>
    <row r="592" spans="1:15" ht="36.75" customHeight="1" x14ac:dyDescent="0.2">
      <c r="A592" s="225">
        <v>488</v>
      </c>
      <c r="B592" s="227" t="s">
        <v>840</v>
      </c>
      <c r="C592" s="227" t="s">
        <v>284</v>
      </c>
      <c r="D592" s="99" t="s">
        <v>870</v>
      </c>
      <c r="E592" s="228" t="s">
        <v>280</v>
      </c>
      <c r="F592" s="228" t="s">
        <v>19</v>
      </c>
      <c r="G592" s="162">
        <v>72600</v>
      </c>
      <c r="H592" s="162">
        <v>0</v>
      </c>
      <c r="I592" s="162">
        <f t="shared" si="482"/>
        <v>72600</v>
      </c>
      <c r="J592" s="163">
        <f>IF(G592&gt;=Datos!$D$14,(Datos!$D$14*Datos!$C$14),IF(G592&lt;=Datos!$D$14,(G592*Datos!$C$14)))</f>
        <v>2083.62</v>
      </c>
      <c r="K592" s="164">
        <f>IF((G592-J592-L592)&lt;=Datos!$G$7,"0",IF((G592-J592-L592)&lt;=Datos!$G$8,((G592-J592-L592)-Datos!$F$8)*Datos!$I$6,IF((G592-J592-L592)&lt;=Datos!$G$9,Datos!$I$8+((G592-J592-L592)-Datos!$F$9)*Datos!$J$6,IF((G592-J592-L592)&gt;=Datos!$F$10,(Datos!$I$8+Datos!$J$8)+((G592-J592-L592)-Datos!$F$10)*Datos!$K$6))))</f>
        <v>5857.743666666669</v>
      </c>
      <c r="L592" s="163">
        <f>IF(G592&gt;=Datos!$D$15,(Datos!$D$15*Datos!$C$15),IF(G592&lt;=Datos!$D$15,(G592*Datos!$C$15)))</f>
        <v>2207.04</v>
      </c>
      <c r="M592" s="162">
        <v>25</v>
      </c>
      <c r="N592" s="162">
        <f t="shared" si="483"/>
        <v>10173.403666666669</v>
      </c>
      <c r="O592" s="191">
        <f t="shared" si="484"/>
        <v>62426.596333333335</v>
      </c>
    </row>
    <row r="593" spans="1:15" ht="36.75" customHeight="1" x14ac:dyDescent="0.2">
      <c r="A593" s="225">
        <v>489</v>
      </c>
      <c r="B593" s="227" t="s">
        <v>991</v>
      </c>
      <c r="C593" s="227" t="s">
        <v>284</v>
      </c>
      <c r="D593" s="99" t="s">
        <v>870</v>
      </c>
      <c r="E593" s="228" t="s">
        <v>280</v>
      </c>
      <c r="F593" s="228" t="s">
        <v>19</v>
      </c>
      <c r="G593" s="162">
        <v>60000</v>
      </c>
      <c r="H593" s="162">
        <v>0</v>
      </c>
      <c r="I593" s="162">
        <f t="shared" si="482"/>
        <v>60000</v>
      </c>
      <c r="J593" s="163">
        <f>IF(G593&gt;=Datos!$D$14,(Datos!$D$14*Datos!$C$14),IF(G593&lt;=Datos!$D$14,(G593*Datos!$C$14)))</f>
        <v>1722</v>
      </c>
      <c r="K593" s="164">
        <f>IF((G593-J593-L593)&lt;=Datos!$G$7,"0",IF((G593-J593-L593)&lt;=Datos!$G$8,((G593-J593-L593)-Datos!$F$8)*Datos!$I$6,IF((G593-J593-L593)&lt;=Datos!$G$9,Datos!$I$8+((G593-J593-L593)-Datos!$F$9)*Datos!$J$6,IF((G593-J593-L593)&gt;=Datos!$F$10,(Datos!$I$8+Datos!$J$8)+((G593-J593-L593)-Datos!$F$10)*Datos!$K$6))))</f>
        <v>3486.6756666666661</v>
      </c>
      <c r="L593" s="163">
        <f>IF(G593&gt;=Datos!$D$15,(Datos!$D$15*Datos!$C$15),IF(G593&lt;=Datos!$D$15,(G593*Datos!$C$15)))</f>
        <v>1824</v>
      </c>
      <c r="M593" s="162">
        <v>25</v>
      </c>
      <c r="N593" s="162">
        <f t="shared" si="483"/>
        <v>7057.6756666666661</v>
      </c>
      <c r="O593" s="191">
        <f t="shared" si="484"/>
        <v>52942.324333333338</v>
      </c>
    </row>
    <row r="594" spans="1:15" ht="36.75" customHeight="1" x14ac:dyDescent="0.2">
      <c r="A594" s="225">
        <v>490</v>
      </c>
      <c r="B594" s="227" t="s">
        <v>992</v>
      </c>
      <c r="C594" s="227" t="s">
        <v>284</v>
      </c>
      <c r="D594" s="99" t="s">
        <v>452</v>
      </c>
      <c r="E594" s="228" t="s">
        <v>280</v>
      </c>
      <c r="F594" s="228" t="s">
        <v>19</v>
      </c>
      <c r="G594" s="162">
        <v>35000</v>
      </c>
      <c r="H594" s="162">
        <v>0</v>
      </c>
      <c r="I594" s="162">
        <f t="shared" si="479"/>
        <v>35000</v>
      </c>
      <c r="J594" s="163">
        <f>IF(G594&gt;=Datos!$D$14,(Datos!$D$14*Datos!$C$14),IF(G594&lt;=Datos!$D$14,(G594*Datos!$C$14)))</f>
        <v>1004.5</v>
      </c>
      <c r="K594" s="164" t="str">
        <f>IF((G594-J594-L594)&lt;=Datos!$G$7,"0",IF((G594-J594-L594)&lt;=Datos!$G$8,((G594-J594-L594)-Datos!$F$8)*Datos!$I$6,IF((G594-J594-L594)&lt;=Datos!$G$9,Datos!$I$8+((G594-J594-L594)-Datos!$F$9)*Datos!$J$6,IF((G594-J594-L594)&gt;=Datos!$F$10,(Datos!$I$8+Datos!$J$8)+((G594-J594-L594)-Datos!$F$10)*Datos!$K$6))))</f>
        <v>0</v>
      </c>
      <c r="L594" s="163">
        <f>IF(G594&gt;=Datos!$D$15,(Datos!$D$15*Datos!$C$15),IF(G594&lt;=Datos!$D$15,(G594*Datos!$C$15)))</f>
        <v>1064</v>
      </c>
      <c r="M594" s="162">
        <v>25</v>
      </c>
      <c r="N594" s="162">
        <f t="shared" si="480"/>
        <v>2093.5</v>
      </c>
      <c r="O594" s="191">
        <f t="shared" si="481"/>
        <v>32906.5</v>
      </c>
    </row>
    <row r="595" spans="1:15" ht="36.75" customHeight="1" x14ac:dyDescent="0.2">
      <c r="A595" s="225">
        <v>491</v>
      </c>
      <c r="B595" s="227" t="s">
        <v>1040</v>
      </c>
      <c r="C595" s="227" t="s">
        <v>284</v>
      </c>
      <c r="D595" s="99" t="s">
        <v>452</v>
      </c>
      <c r="E595" s="228" t="s">
        <v>280</v>
      </c>
      <c r="F595" s="228" t="s">
        <v>19</v>
      </c>
      <c r="G595" s="162">
        <v>35000</v>
      </c>
      <c r="H595" s="162">
        <v>0</v>
      </c>
      <c r="I595" s="162">
        <f t="shared" si="479"/>
        <v>35000</v>
      </c>
      <c r="J595" s="163">
        <f>IF(G595&gt;=Datos!$D$14,(Datos!$D$14*Datos!$C$14),IF(G595&lt;=Datos!$D$14,(G595*Datos!$C$14)))</f>
        <v>1004.5</v>
      </c>
      <c r="K595" s="164" t="str">
        <f>IF((G595-J595-L595)&lt;=Datos!$G$7,"0",IF((G595-J595-L595)&lt;=Datos!$G$8,((G595-J595-L595)-Datos!$F$8)*Datos!$I$6,IF((G595-J595-L595)&lt;=Datos!$G$9,Datos!$I$8+((G595-J595-L595)-Datos!$F$9)*Datos!$J$6,IF((G595-J595-L595)&gt;=Datos!$F$10,(Datos!$I$8+Datos!$J$8)+((G595-J595-L595)-Datos!$F$10)*Datos!$K$6))))</f>
        <v>0</v>
      </c>
      <c r="L595" s="163">
        <f>IF(G595&gt;=Datos!$D$15,(Datos!$D$15*Datos!$C$15),IF(G595&lt;=Datos!$D$15,(G595*Datos!$C$15)))</f>
        <v>1064</v>
      </c>
      <c r="M595" s="162">
        <v>25</v>
      </c>
      <c r="N595" s="162">
        <f t="shared" si="480"/>
        <v>2093.5</v>
      </c>
      <c r="O595" s="191">
        <f t="shared" si="481"/>
        <v>32906.5</v>
      </c>
    </row>
    <row r="596" spans="1:15" ht="36.75" customHeight="1" x14ac:dyDescent="0.2">
      <c r="A596" s="225">
        <v>492</v>
      </c>
      <c r="B596" s="227" t="s">
        <v>1041</v>
      </c>
      <c r="C596" s="227" t="s">
        <v>284</v>
      </c>
      <c r="D596" s="99" t="s">
        <v>608</v>
      </c>
      <c r="E596" s="228" t="s">
        <v>280</v>
      </c>
      <c r="F596" s="228" t="s">
        <v>19</v>
      </c>
      <c r="G596" s="162">
        <v>60000</v>
      </c>
      <c r="H596" s="162">
        <v>0</v>
      </c>
      <c r="I596" s="162">
        <f t="shared" si="479"/>
        <v>60000</v>
      </c>
      <c r="J596" s="163">
        <f>IF(G596&gt;=Datos!$D$14,(Datos!$D$14*Datos!$C$14),IF(G596&lt;=Datos!$D$14,(G596*Datos!$C$14)))</f>
        <v>1722</v>
      </c>
      <c r="K596" s="164">
        <f>IF((G596-J596-L596)&lt;=Datos!$G$7,"0",IF((G596-J596-L596)&lt;=Datos!$G$8,((G596-J596-L596)-Datos!$F$8)*Datos!$I$6,IF((G596-J596-L596)&lt;=Datos!$G$9,Datos!$I$8+((G596-J596-L596)-Datos!$F$9)*Datos!$J$6,IF((G596-J596-L596)&gt;=Datos!$F$10,(Datos!$I$8+Datos!$J$8)+((G596-J596-L596)-Datos!$F$10)*Datos!$K$6))))</f>
        <v>3486.6756666666661</v>
      </c>
      <c r="L596" s="163">
        <f>IF(G596&gt;=Datos!$D$15,(Datos!$D$15*Datos!$C$15),IF(G596&lt;=Datos!$D$15,(G596*Datos!$C$15)))</f>
        <v>1824</v>
      </c>
      <c r="M596" s="162">
        <v>25</v>
      </c>
      <c r="N596" s="162">
        <f t="shared" si="480"/>
        <v>7057.6756666666661</v>
      </c>
      <c r="O596" s="191">
        <f t="shared" si="481"/>
        <v>52942.324333333338</v>
      </c>
    </row>
    <row r="597" spans="1:15" ht="36.75" customHeight="1" x14ac:dyDescent="0.2">
      <c r="A597" s="225">
        <v>493</v>
      </c>
      <c r="B597" s="227" t="s">
        <v>1042</v>
      </c>
      <c r="C597" s="227" t="s">
        <v>284</v>
      </c>
      <c r="D597" s="99" t="s">
        <v>608</v>
      </c>
      <c r="E597" s="228" t="s">
        <v>280</v>
      </c>
      <c r="F597" s="228" t="s">
        <v>19</v>
      </c>
      <c r="G597" s="162">
        <v>60000</v>
      </c>
      <c r="H597" s="162">
        <v>0</v>
      </c>
      <c r="I597" s="162">
        <f t="shared" si="479"/>
        <v>60000</v>
      </c>
      <c r="J597" s="163">
        <f>IF(G597&gt;=Datos!$D$14,(Datos!$D$14*Datos!$C$14),IF(G597&lt;=Datos!$D$14,(G597*Datos!$C$14)))</f>
        <v>1722</v>
      </c>
      <c r="K597" s="164">
        <f>IF((G597-J597-L597)&lt;=Datos!$G$7,"0",IF((G597-J597-L597)&lt;=Datos!$G$8,((G597-J597-L597)-Datos!$F$8)*Datos!$I$6,IF((G597-J597-L597)&lt;=Datos!$G$9,Datos!$I$8+((G597-J597-L597)-Datos!$F$9)*Datos!$J$6,IF((G597-J597-L597)&gt;=Datos!$F$10,(Datos!$I$8+Datos!$J$8)+((G597-J597-L597)-Datos!$F$10)*Datos!$K$6))))</f>
        <v>3486.6756666666661</v>
      </c>
      <c r="L597" s="163">
        <f>IF(G597&gt;=Datos!$D$15,(Datos!$D$15*Datos!$C$15),IF(G597&lt;=Datos!$D$15,(G597*Datos!$C$15)))</f>
        <v>1824</v>
      </c>
      <c r="M597" s="162">
        <v>25</v>
      </c>
      <c r="N597" s="162">
        <f t="shared" si="480"/>
        <v>7057.6756666666661</v>
      </c>
      <c r="O597" s="191">
        <f t="shared" si="481"/>
        <v>52942.324333333338</v>
      </c>
    </row>
    <row r="598" spans="1:15" s="234" customFormat="1" ht="36.75" customHeight="1" x14ac:dyDescent="0.2">
      <c r="A598" s="277" t="s">
        <v>455</v>
      </c>
      <c r="B598" s="278"/>
      <c r="C598" s="232">
        <v>61</v>
      </c>
      <c r="D598" s="232"/>
      <c r="E598" s="233"/>
      <c r="F598" s="166"/>
      <c r="G598" s="167">
        <f t="shared" ref="G598:O598" si="485">SUM(G538:G597)</f>
        <v>3730697.4699999997</v>
      </c>
      <c r="H598" s="167">
        <f t="shared" si="485"/>
        <v>0</v>
      </c>
      <c r="I598" s="167">
        <f t="shared" si="485"/>
        <v>3730697.4699999997</v>
      </c>
      <c r="J598" s="167">
        <f t="shared" si="485"/>
        <v>107071.01738900002</v>
      </c>
      <c r="K598" s="167">
        <f t="shared" si="485"/>
        <v>259524.45504733347</v>
      </c>
      <c r="L598" s="167">
        <f t="shared" si="485"/>
        <v>113413.20308799999</v>
      </c>
      <c r="M598" s="167">
        <f t="shared" si="485"/>
        <v>43790.67</v>
      </c>
      <c r="N598" s="167">
        <f t="shared" si="485"/>
        <v>523799.34552433313</v>
      </c>
      <c r="O598" s="167">
        <f t="shared" si="485"/>
        <v>3206898.1244756663</v>
      </c>
    </row>
    <row r="599" spans="1:15" ht="36.75" customHeight="1" x14ac:dyDescent="0.2">
      <c r="A599" s="277" t="s">
        <v>619</v>
      </c>
      <c r="B599" s="278"/>
      <c r="C599" s="278"/>
      <c r="D599" s="278"/>
      <c r="E599" s="278"/>
      <c r="F599" s="278"/>
      <c r="G599" s="278"/>
      <c r="H599" s="278"/>
      <c r="I599" s="278"/>
      <c r="J599" s="278"/>
      <c r="K599" s="278"/>
      <c r="L599" s="278"/>
      <c r="M599" s="278"/>
      <c r="N599" s="278"/>
      <c r="O599" s="279"/>
    </row>
    <row r="600" spans="1:15" ht="36.75" customHeight="1" x14ac:dyDescent="0.2">
      <c r="A600" s="225">
        <v>494</v>
      </c>
      <c r="B600" s="227" t="s">
        <v>167</v>
      </c>
      <c r="C600" s="227" t="s">
        <v>286</v>
      </c>
      <c r="D600" s="227" t="s">
        <v>310</v>
      </c>
      <c r="E600" s="228" t="s">
        <v>280</v>
      </c>
      <c r="F600" s="228" t="s">
        <v>19</v>
      </c>
      <c r="G600" s="162">
        <v>72600</v>
      </c>
      <c r="H600" s="162">
        <v>0</v>
      </c>
      <c r="I600" s="162">
        <f t="shared" ref="I600:I601" si="486">SUM(G600:H600)</f>
        <v>72600</v>
      </c>
      <c r="J600" s="163">
        <f>IF(G600&gt;=Datos!$D$14,(Datos!$D$14*Datos!$C$14),IF(G600&lt;=Datos!$D$14,(G600*Datos!$C$14)))</f>
        <v>2083.62</v>
      </c>
      <c r="K600" s="164">
        <v>5514.65</v>
      </c>
      <c r="L600" s="163">
        <f>IF(G600&gt;=Datos!$D$15,(Datos!$D$15*Datos!$C$15),IF(G600&lt;=Datos!$D$15,(G600*Datos!$C$15)))</f>
        <v>2207.04</v>
      </c>
      <c r="M600" s="162">
        <v>27678.22</v>
      </c>
      <c r="N600" s="162">
        <f t="shared" ref="N600:N601" si="487">SUM(J600:M600)</f>
        <v>37483.53</v>
      </c>
      <c r="O600" s="191">
        <f t="shared" ref="O600:O601" si="488">+G600-N600</f>
        <v>35116.47</v>
      </c>
    </row>
    <row r="601" spans="1:15" ht="36.75" customHeight="1" x14ac:dyDescent="0.2">
      <c r="A601" s="225">
        <v>495</v>
      </c>
      <c r="B601" s="227" t="s">
        <v>187</v>
      </c>
      <c r="C601" s="227" t="s">
        <v>286</v>
      </c>
      <c r="D601" s="99" t="s">
        <v>628</v>
      </c>
      <c r="E601" s="228" t="s">
        <v>280</v>
      </c>
      <c r="F601" s="228" t="s">
        <v>281</v>
      </c>
      <c r="G601" s="162">
        <v>72600</v>
      </c>
      <c r="H601" s="162">
        <v>0</v>
      </c>
      <c r="I601" s="162">
        <f t="shared" si="486"/>
        <v>72600</v>
      </c>
      <c r="J601" s="163">
        <f>IF(G601&gt;=Datos!$D$14,(Datos!$D$14*Datos!$C$14),IF(G601&lt;=Datos!$D$14,(G601*Datos!$C$14)))</f>
        <v>2083.62</v>
      </c>
      <c r="K601" s="164">
        <f>IF((G601-J601-L601)&lt;=Datos!$G$7,"0",IF((G601-J601-L601)&lt;=Datos!$G$8,((G601-J601-L601)-Datos!$F$8)*Datos!$I$6,IF((G601-J601-L601)&lt;=Datos!$G$9,Datos!$I$8+((G601-J601-L601)-Datos!$F$9)*Datos!$J$6,IF((G601-J601-L601)&gt;=Datos!$F$10,(Datos!$I$8+Datos!$J$8)+((G601-J601-L601)-Datos!$F$10)*Datos!$K$6))))</f>
        <v>5857.743666666669</v>
      </c>
      <c r="L601" s="163">
        <f>IF(G601&gt;=Datos!$D$15,(Datos!$D$15*Datos!$C$15),IF(G601&lt;=Datos!$D$15,(G601*Datos!$C$15)))</f>
        <v>2207.04</v>
      </c>
      <c r="M601" s="162">
        <v>25</v>
      </c>
      <c r="N601" s="162">
        <f t="shared" si="487"/>
        <v>10173.403666666669</v>
      </c>
      <c r="O601" s="191">
        <f t="shared" si="488"/>
        <v>62426.596333333335</v>
      </c>
    </row>
    <row r="602" spans="1:15" s="234" customFormat="1" ht="36.75" customHeight="1" x14ac:dyDescent="0.2">
      <c r="A602" s="277" t="s">
        <v>455</v>
      </c>
      <c r="B602" s="278"/>
      <c r="C602" s="232">
        <v>2</v>
      </c>
      <c r="D602" s="232"/>
      <c r="E602" s="233"/>
      <c r="F602" s="166"/>
      <c r="G602" s="167">
        <f>SUM(G600:G601)</f>
        <v>145200</v>
      </c>
      <c r="H602" s="167">
        <f t="shared" ref="H602:O602" si="489">SUM(H600:H601)</f>
        <v>0</v>
      </c>
      <c r="I602" s="167">
        <f t="shared" si="489"/>
        <v>145200</v>
      </c>
      <c r="J602" s="167">
        <f t="shared" si="489"/>
        <v>4167.24</v>
      </c>
      <c r="K602" s="167">
        <f t="shared" si="489"/>
        <v>11372.393666666669</v>
      </c>
      <c r="L602" s="167">
        <f t="shared" si="489"/>
        <v>4414.08</v>
      </c>
      <c r="M602" s="167">
        <f t="shared" si="489"/>
        <v>27703.22</v>
      </c>
      <c r="N602" s="167">
        <f t="shared" si="489"/>
        <v>47656.933666666664</v>
      </c>
      <c r="O602" s="167">
        <f t="shared" si="489"/>
        <v>97543.066333333336</v>
      </c>
    </row>
    <row r="603" spans="1:15" ht="36.75" customHeight="1" x14ac:dyDescent="0.2">
      <c r="A603" s="277" t="s">
        <v>515</v>
      </c>
      <c r="B603" s="278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8"/>
      <c r="N603" s="278"/>
      <c r="O603" s="279"/>
    </row>
    <row r="604" spans="1:15" ht="36.75" customHeight="1" x14ac:dyDescent="0.2">
      <c r="A604" s="225">
        <v>496</v>
      </c>
      <c r="B604" s="227" t="s">
        <v>625</v>
      </c>
      <c r="C604" s="227" t="s">
        <v>285</v>
      </c>
      <c r="D604" s="227" t="s">
        <v>310</v>
      </c>
      <c r="E604" s="228" t="s">
        <v>280</v>
      </c>
      <c r="F604" s="228" t="s">
        <v>19</v>
      </c>
      <c r="G604" s="162">
        <v>72600</v>
      </c>
      <c r="H604" s="162">
        <v>0</v>
      </c>
      <c r="I604" s="162">
        <f t="shared" ref="I604:I607" si="490">SUM(G604:H604)</f>
        <v>72600</v>
      </c>
      <c r="J604" s="163">
        <f>IF(G604&gt;=Datos!$D$14,(Datos!$D$14*Datos!$C$14),IF(G604&lt;=Datos!$D$14,(G604*Datos!$C$14)))</f>
        <v>2083.62</v>
      </c>
      <c r="K604" s="164">
        <f>IF((G604-J604-L604)&lt;=Datos!$G$7,"0",IF((G604-J604-L604)&lt;=Datos!$G$8,((G604-J604-L604)-Datos!$F$8)*Datos!$I$6,IF((G604-J604-L604)&lt;=Datos!$G$9,Datos!$I$8+((G604-J604-L604)-Datos!$F$9)*Datos!$J$6,IF((G604-J604-L604)&gt;=Datos!$F$10,(Datos!$I$8+Datos!$J$8)+((G604-J604-L604)-Datos!$F$10)*Datos!$K$6))))</f>
        <v>5857.743666666669</v>
      </c>
      <c r="L604" s="163">
        <f>IF(G604&gt;=Datos!$D$15,(Datos!$D$15*Datos!$C$15),IF(G604&lt;=Datos!$D$15,(G604*Datos!$C$15)))</f>
        <v>2207.04</v>
      </c>
      <c r="M604" s="162">
        <v>25</v>
      </c>
      <c r="N604" s="162">
        <f t="shared" ref="N604:N607" si="491">SUM(J604:M604)</f>
        <v>10173.403666666669</v>
      </c>
      <c r="O604" s="191">
        <f t="shared" ref="O604:O607" si="492">+G604-N604</f>
        <v>62426.596333333335</v>
      </c>
    </row>
    <row r="605" spans="1:15" ht="36.75" customHeight="1" x14ac:dyDescent="0.2">
      <c r="A605" s="225">
        <v>497</v>
      </c>
      <c r="B605" s="227" t="s">
        <v>626</v>
      </c>
      <c r="C605" s="227" t="s">
        <v>285</v>
      </c>
      <c r="D605" s="227" t="s">
        <v>310</v>
      </c>
      <c r="E605" s="228" t="s">
        <v>280</v>
      </c>
      <c r="F605" s="228" t="s">
        <v>19</v>
      </c>
      <c r="G605" s="162">
        <v>72600</v>
      </c>
      <c r="H605" s="162">
        <v>0</v>
      </c>
      <c r="I605" s="162">
        <f t="shared" si="490"/>
        <v>72600</v>
      </c>
      <c r="J605" s="163">
        <f>IF(G605&gt;=Datos!$D$14,(Datos!$D$14*Datos!$C$14),IF(G605&lt;=Datos!$D$14,(G605*Datos!$C$14)))</f>
        <v>2083.62</v>
      </c>
      <c r="K605" s="164">
        <f>IF((G605-J605-L605)&lt;=Datos!$G$7,"0",IF((G605-J605-L605)&lt;=Datos!$G$8,((G605-J605-L605)-Datos!$F$8)*Datos!$I$6,IF((G605-J605-L605)&lt;=Datos!$G$9,Datos!$I$8+((G605-J605-L605)-Datos!$F$9)*Datos!$J$6,IF((G605-J605-L605)&gt;=Datos!$F$10,(Datos!$I$8+Datos!$J$8)+((G605-J605-L605)-Datos!$F$10)*Datos!$K$6))))</f>
        <v>5857.743666666669</v>
      </c>
      <c r="L605" s="163">
        <f>IF(G605&gt;=Datos!$D$15,(Datos!$D$15*Datos!$C$15),IF(G605&lt;=Datos!$D$15,(G605*Datos!$C$15)))</f>
        <v>2207.04</v>
      </c>
      <c r="M605" s="162">
        <v>25</v>
      </c>
      <c r="N605" s="162">
        <f t="shared" si="491"/>
        <v>10173.403666666669</v>
      </c>
      <c r="O605" s="191">
        <f t="shared" si="492"/>
        <v>62426.596333333335</v>
      </c>
    </row>
    <row r="606" spans="1:15" ht="36.75" customHeight="1" x14ac:dyDescent="0.2">
      <c r="A606" s="225">
        <v>498</v>
      </c>
      <c r="B606" s="227" t="s">
        <v>1043</v>
      </c>
      <c r="C606" s="227" t="s">
        <v>285</v>
      </c>
      <c r="D606" s="227" t="s">
        <v>310</v>
      </c>
      <c r="E606" s="228" t="s">
        <v>280</v>
      </c>
      <c r="F606" s="228" t="s">
        <v>19</v>
      </c>
      <c r="G606" s="162">
        <v>60000</v>
      </c>
      <c r="H606" s="162">
        <v>0</v>
      </c>
      <c r="I606" s="162">
        <f t="shared" si="490"/>
        <v>60000</v>
      </c>
      <c r="J606" s="163">
        <f>IF(G606&gt;=Datos!$D$14,(Datos!$D$14*Datos!$C$14),IF(G606&lt;=Datos!$D$14,(G606*Datos!$C$14)))</f>
        <v>1722</v>
      </c>
      <c r="K606" s="164">
        <f>IF((G606-J606-L606)&lt;=Datos!$G$7,"0",IF((G606-J606-L606)&lt;=Datos!$G$8,((G606-J606-L606)-Datos!$F$8)*Datos!$I$6,IF((G606-J606-L606)&lt;=Datos!$G$9,Datos!$I$8+((G606-J606-L606)-Datos!$F$9)*Datos!$J$6,IF((G606-J606-L606)&gt;=Datos!$F$10,(Datos!$I$8+Datos!$J$8)+((G606-J606-L606)-Datos!$F$10)*Datos!$K$6))))</f>
        <v>3486.6756666666661</v>
      </c>
      <c r="L606" s="163">
        <f>IF(G606&gt;=Datos!$D$15,(Datos!$D$15*Datos!$C$15),IF(G606&lt;=Datos!$D$15,(G606*Datos!$C$15)))</f>
        <v>1824</v>
      </c>
      <c r="M606" s="162">
        <v>25</v>
      </c>
      <c r="N606" s="162">
        <f t="shared" ref="N606" si="493">SUM(J606:M606)</f>
        <v>7057.6756666666661</v>
      </c>
      <c r="O606" s="191">
        <f t="shared" ref="O606" si="494">+G606-N606</f>
        <v>52942.324333333338</v>
      </c>
    </row>
    <row r="607" spans="1:15" ht="36.75" customHeight="1" x14ac:dyDescent="0.2">
      <c r="A607" s="225">
        <v>499</v>
      </c>
      <c r="B607" s="227" t="s">
        <v>1044</v>
      </c>
      <c r="C607" s="227" t="s">
        <v>285</v>
      </c>
      <c r="D607" s="227" t="s">
        <v>310</v>
      </c>
      <c r="E607" s="228" t="s">
        <v>280</v>
      </c>
      <c r="F607" s="228" t="s">
        <v>19</v>
      </c>
      <c r="G607" s="162">
        <v>60000</v>
      </c>
      <c r="H607" s="162">
        <v>0</v>
      </c>
      <c r="I607" s="162">
        <f t="shared" si="490"/>
        <v>60000</v>
      </c>
      <c r="J607" s="163">
        <f>IF(G607&gt;=Datos!$D$14,(Datos!$D$14*Datos!$C$14),IF(G607&lt;=Datos!$D$14,(G607*Datos!$C$14)))</f>
        <v>1722</v>
      </c>
      <c r="K607" s="164">
        <f>IF((G607-J607-L607)&lt;=Datos!$G$7,"0",IF((G607-J607-L607)&lt;=Datos!$G$8,((G607-J607-L607)-Datos!$F$8)*Datos!$I$6,IF((G607-J607-L607)&lt;=Datos!$G$9,Datos!$I$8+((G607-J607-L607)-Datos!$F$9)*Datos!$J$6,IF((G607-J607-L607)&gt;=Datos!$F$10,(Datos!$I$8+Datos!$J$8)+((G607-J607-L607)-Datos!$F$10)*Datos!$K$6))))</f>
        <v>3486.6756666666661</v>
      </c>
      <c r="L607" s="163">
        <f>IF(G607&gt;=Datos!$D$15,(Datos!$D$15*Datos!$C$15),IF(G607&lt;=Datos!$D$15,(G607*Datos!$C$15)))</f>
        <v>1824</v>
      </c>
      <c r="M607" s="162">
        <v>25</v>
      </c>
      <c r="N607" s="162">
        <f t="shared" si="491"/>
        <v>7057.6756666666661</v>
      </c>
      <c r="O607" s="191">
        <f t="shared" si="492"/>
        <v>52942.324333333338</v>
      </c>
    </row>
    <row r="608" spans="1:15" ht="36.75" customHeight="1" x14ac:dyDescent="0.2">
      <c r="A608" s="225">
        <v>500</v>
      </c>
      <c r="B608" s="227" t="s">
        <v>1045</v>
      </c>
      <c r="C608" s="227" t="s">
        <v>285</v>
      </c>
      <c r="D608" s="227" t="s">
        <v>310</v>
      </c>
      <c r="E608" s="228" t="s">
        <v>280</v>
      </c>
      <c r="F608" s="228" t="s">
        <v>19</v>
      </c>
      <c r="G608" s="162">
        <v>60000</v>
      </c>
      <c r="H608" s="162">
        <v>0</v>
      </c>
      <c r="I608" s="162">
        <f t="shared" ref="I608:I614" si="495">SUM(G608:H608)</f>
        <v>60000</v>
      </c>
      <c r="J608" s="163">
        <f>IF(G608&gt;=Datos!$D$14,(Datos!$D$14*Datos!$C$14),IF(G608&lt;=Datos!$D$14,(G608*Datos!$C$14)))</f>
        <v>1722</v>
      </c>
      <c r="K608" s="164">
        <f>IF((G608-J608-L608)&lt;=Datos!$G$7,"0",IF((G608-J608-L608)&lt;=Datos!$G$8,((G608-J608-L608)-Datos!$F$8)*Datos!$I$6,IF((G608-J608-L608)&lt;=Datos!$G$9,Datos!$I$8+((G608-J608-L608)-Datos!$F$9)*Datos!$J$6,IF((G608-J608-L608)&gt;=Datos!$F$10,(Datos!$I$8+Datos!$J$8)+((G608-J608-L608)-Datos!$F$10)*Datos!$K$6))))</f>
        <v>3486.6756666666661</v>
      </c>
      <c r="L608" s="163">
        <f>IF(G608&gt;=Datos!$D$15,(Datos!$D$15*Datos!$C$15),IF(G608&lt;=Datos!$D$15,(G608*Datos!$C$15)))</f>
        <v>1824</v>
      </c>
      <c r="M608" s="162">
        <v>25</v>
      </c>
      <c r="N608" s="162">
        <f t="shared" ref="N608:N614" si="496">SUM(J608:M608)</f>
        <v>7057.6756666666661</v>
      </c>
      <c r="O608" s="191">
        <f t="shared" ref="O608:O614" si="497">+G608-N608</f>
        <v>52942.324333333338</v>
      </c>
    </row>
    <row r="609" spans="1:15" ht="36.75" customHeight="1" x14ac:dyDescent="0.2">
      <c r="A609" s="225">
        <v>501</v>
      </c>
      <c r="B609" s="227" t="s">
        <v>843</v>
      </c>
      <c r="C609" s="227" t="s">
        <v>285</v>
      </c>
      <c r="D609" s="99" t="s">
        <v>628</v>
      </c>
      <c r="E609" s="228" t="s">
        <v>280</v>
      </c>
      <c r="F609" s="228" t="s">
        <v>281</v>
      </c>
      <c r="G609" s="162">
        <v>81756.679999999993</v>
      </c>
      <c r="H609" s="162">
        <v>0</v>
      </c>
      <c r="I609" s="162">
        <f t="shared" si="495"/>
        <v>81756.679999999993</v>
      </c>
      <c r="J609" s="163">
        <f>IF(G609&gt;=Datos!$D$14,(Datos!$D$14*Datos!$C$14),IF(G609&lt;=Datos!$D$14,(G609*Datos!$C$14)))</f>
        <v>2346.4167159999997</v>
      </c>
      <c r="K609" s="164">
        <v>7385.22</v>
      </c>
      <c r="L609" s="163">
        <f>IF(G609&gt;=Datos!$D$15,(Datos!$D$15*Datos!$C$15),IF(G609&lt;=Datos!$D$15,(G609*Datos!$C$15)))</f>
        <v>2485.4030719999996</v>
      </c>
      <c r="M609" s="162">
        <v>1740.46</v>
      </c>
      <c r="N609" s="162">
        <f t="shared" si="496"/>
        <v>13957.499788000001</v>
      </c>
      <c r="O609" s="191">
        <f t="shared" si="497"/>
        <v>67799.180211999992</v>
      </c>
    </row>
    <row r="610" spans="1:15" ht="36.75" customHeight="1" x14ac:dyDescent="0.2">
      <c r="A610" s="225">
        <v>502</v>
      </c>
      <c r="B610" s="227" t="s">
        <v>174</v>
      </c>
      <c r="C610" s="227" t="s">
        <v>285</v>
      </c>
      <c r="D610" s="99" t="s">
        <v>628</v>
      </c>
      <c r="E610" s="228" t="s">
        <v>280</v>
      </c>
      <c r="F610" s="228" t="s">
        <v>19</v>
      </c>
      <c r="G610" s="162">
        <v>78650</v>
      </c>
      <c r="H610" s="162">
        <v>0</v>
      </c>
      <c r="I610" s="162">
        <f t="shared" si="495"/>
        <v>78650</v>
      </c>
      <c r="J610" s="163">
        <f>IF(G610&gt;=Datos!$D$14,(Datos!$D$14*Datos!$C$14),IF(G610&lt;=Datos!$D$14,(G610*Datos!$C$14)))</f>
        <v>2257.2550000000001</v>
      </c>
      <c r="K610" s="164">
        <f>IF((G610-J610-L610)&lt;=Datos!$G$7,"0",IF((G610-J610-L610)&lt;=Datos!$G$8,((G610-J610-L610)-Datos!$F$8)*Datos!$I$6,IF((G610-J610-L610)&lt;=Datos!$G$9,Datos!$I$8+((G610-J610-L610)-Datos!$F$9)*Datos!$J$6,IF((G610-J610-L610)&gt;=Datos!$F$10,(Datos!$I$8+Datos!$J$8)+((G610-J610-L610)-Datos!$F$10)*Datos!$K$6))))</f>
        <v>7083.3069166666646</v>
      </c>
      <c r="L610" s="163">
        <f>IF(G610&gt;=Datos!$D$15,(Datos!$D$15*Datos!$C$15),IF(G610&lt;=Datos!$D$15,(G610*Datos!$C$15)))</f>
        <v>2390.96</v>
      </c>
      <c r="M610" s="162">
        <v>25</v>
      </c>
      <c r="N610" s="162">
        <f t="shared" si="496"/>
        <v>11756.521916666665</v>
      </c>
      <c r="O610" s="191">
        <f t="shared" si="497"/>
        <v>66893.478083333335</v>
      </c>
    </row>
    <row r="611" spans="1:15" ht="36.75" customHeight="1" x14ac:dyDescent="0.2">
      <c r="A611" s="225">
        <v>503</v>
      </c>
      <c r="B611" s="227" t="s">
        <v>80</v>
      </c>
      <c r="C611" s="227" t="s">
        <v>285</v>
      </c>
      <c r="D611" s="227" t="s">
        <v>629</v>
      </c>
      <c r="E611" s="228" t="s">
        <v>280</v>
      </c>
      <c r="F611" s="228" t="s">
        <v>19</v>
      </c>
      <c r="G611" s="162">
        <v>72600</v>
      </c>
      <c r="H611" s="162">
        <v>0</v>
      </c>
      <c r="I611" s="162">
        <f t="shared" si="495"/>
        <v>72600</v>
      </c>
      <c r="J611" s="163">
        <f>IF(G611&gt;=Datos!$D$14,(Datos!$D$14*Datos!$C$14),IF(G611&lt;=Datos!$D$14,(G611*Datos!$C$14)))</f>
        <v>2083.62</v>
      </c>
      <c r="K611" s="164">
        <f>IF((G611-J611-L611)&lt;=Datos!$G$7,"0",IF((G611-J611-L611)&lt;=Datos!$G$8,((G611-J611-L611)-Datos!$F$8)*Datos!$I$6,IF((G611-J611-L611)&lt;=Datos!$G$9,Datos!$I$8+((G611-J611-L611)-Datos!$F$9)*Datos!$J$6,IF((G611-J611-L611)&gt;=Datos!$F$10,(Datos!$I$8+Datos!$J$8)+((G611-J611-L611)-Datos!$F$10)*Datos!$K$6))))</f>
        <v>5857.743666666669</v>
      </c>
      <c r="L611" s="163">
        <f>IF(G611&gt;=Datos!$D$15,(Datos!$D$15*Datos!$C$15),IF(G611&lt;=Datos!$D$15,(G611*Datos!$C$15)))</f>
        <v>2207.04</v>
      </c>
      <c r="M611" s="162">
        <v>25</v>
      </c>
      <c r="N611" s="162">
        <f t="shared" si="496"/>
        <v>10173.403666666669</v>
      </c>
      <c r="O611" s="191">
        <f t="shared" si="497"/>
        <v>62426.596333333335</v>
      </c>
    </row>
    <row r="612" spans="1:15" ht="36.75" customHeight="1" x14ac:dyDescent="0.2">
      <c r="A612" s="225">
        <v>504</v>
      </c>
      <c r="B612" s="227" t="s">
        <v>149</v>
      </c>
      <c r="C612" s="227" t="s">
        <v>285</v>
      </c>
      <c r="D612" s="99" t="s">
        <v>1052</v>
      </c>
      <c r="E612" s="228" t="s">
        <v>280</v>
      </c>
      <c r="F612" s="228" t="s">
        <v>19</v>
      </c>
      <c r="G612" s="162">
        <v>100000</v>
      </c>
      <c r="H612" s="162">
        <v>0</v>
      </c>
      <c r="I612" s="162">
        <f t="shared" si="495"/>
        <v>100000</v>
      </c>
      <c r="J612" s="163">
        <f>IF(G612&gt;=Datos!$D$14,(Datos!$D$14*Datos!$C$14),IF(G612&lt;=Datos!$D$14,(G612*Datos!$C$14)))</f>
        <v>2870</v>
      </c>
      <c r="K612" s="164">
        <f>IF((G612-J612-L612)&lt;=Datos!$G$7,"0",IF((G612-J612-L612)&lt;=Datos!$G$8,((G612-J612-L612)-Datos!$F$8)*Datos!$I$6,IF((G612-J612-L612)&lt;=Datos!$G$9,Datos!$I$8+((G612-J612-L612)-Datos!$F$9)*Datos!$J$6,IF((G612-J612-L612)&gt;=Datos!$F$10,(Datos!$I$8+Datos!$J$8)+((G612-J612-L612)-Datos!$F$10)*Datos!$K$6))))</f>
        <v>12105.360666666667</v>
      </c>
      <c r="L612" s="163">
        <f>IF(G612&gt;=Datos!$D$15,(Datos!$D$15*Datos!$C$15),IF(G612&lt;=Datos!$D$15,(G612*Datos!$C$15)))</f>
        <v>3040</v>
      </c>
      <c r="M612" s="162">
        <v>25</v>
      </c>
      <c r="N612" s="162">
        <f t="shared" si="496"/>
        <v>18040.360666666667</v>
      </c>
      <c r="O612" s="191">
        <f t="shared" si="497"/>
        <v>81959.639333333325</v>
      </c>
    </row>
    <row r="613" spans="1:15" ht="36.75" customHeight="1" x14ac:dyDescent="0.2">
      <c r="A613" s="225">
        <v>505</v>
      </c>
      <c r="B613" s="227" t="s">
        <v>200</v>
      </c>
      <c r="C613" s="227" t="s">
        <v>285</v>
      </c>
      <c r="D613" s="99" t="s">
        <v>1051</v>
      </c>
      <c r="E613" s="228" t="s">
        <v>280</v>
      </c>
      <c r="F613" s="228" t="s">
        <v>19</v>
      </c>
      <c r="G613" s="162">
        <v>100000</v>
      </c>
      <c r="H613" s="162">
        <v>0</v>
      </c>
      <c r="I613" s="162">
        <f t="shared" si="495"/>
        <v>100000</v>
      </c>
      <c r="J613" s="163">
        <f>IF(G613&gt;=Datos!$D$14,(Datos!$D$14*Datos!$C$14),IF(G613&lt;=Datos!$D$14,(G613*Datos!$C$14)))</f>
        <v>2870</v>
      </c>
      <c r="K613" s="164">
        <f>IF((G613-J613-L613)&lt;=Datos!$G$7,"0",IF((G613-J613-L613)&lt;=Datos!$G$8,((G613-J613-L613)-Datos!$F$8)*Datos!$I$6,IF((G613-J613-L613)&lt;=Datos!$G$9,Datos!$I$8+((G613-J613-L613)-Datos!$F$9)*Datos!$J$6,IF((G613-J613-L613)&gt;=Datos!$F$10,(Datos!$I$8+Datos!$J$8)+((G613-J613-L613)-Datos!$F$10)*Datos!$K$6))))</f>
        <v>12105.360666666667</v>
      </c>
      <c r="L613" s="163">
        <f>IF(G613&gt;=Datos!$D$15,(Datos!$D$15*Datos!$C$15),IF(G613&lt;=Datos!$D$15,(G613*Datos!$C$15)))</f>
        <v>3040</v>
      </c>
      <c r="M613" s="162">
        <v>25</v>
      </c>
      <c r="N613" s="162">
        <f t="shared" si="496"/>
        <v>18040.360666666667</v>
      </c>
      <c r="O613" s="191">
        <f t="shared" si="497"/>
        <v>81959.639333333325</v>
      </c>
    </row>
    <row r="614" spans="1:15" ht="36.75" customHeight="1" x14ac:dyDescent="0.2">
      <c r="A614" s="225">
        <v>506</v>
      </c>
      <c r="B614" s="227" t="s">
        <v>92</v>
      </c>
      <c r="C614" s="227" t="s">
        <v>285</v>
      </c>
      <c r="D614" s="227" t="s">
        <v>629</v>
      </c>
      <c r="E614" s="228" t="s">
        <v>280</v>
      </c>
      <c r="F614" s="228" t="s">
        <v>19</v>
      </c>
      <c r="G614" s="162">
        <v>78650</v>
      </c>
      <c r="H614" s="162">
        <v>0</v>
      </c>
      <c r="I614" s="162">
        <f t="shared" si="495"/>
        <v>78650</v>
      </c>
      <c r="J614" s="163">
        <f>IF(G614&gt;=Datos!$D$14,(Datos!$D$14*Datos!$C$14),IF(G614&lt;=Datos!$D$14,(G614*Datos!$C$14)))</f>
        <v>2257.2550000000001</v>
      </c>
      <c r="K614" s="164">
        <f>IF((G614-J614-L614)&lt;=Datos!$G$7,"0",IF((G614-J614-L614)&lt;=Datos!$G$8,((G614-J614-L614)-Datos!$F$8)*Datos!$I$6,IF((G614-J614-L614)&lt;=Datos!$G$9,Datos!$I$8+((G614-J614-L614)-Datos!$F$9)*Datos!$J$6,IF((G614-J614-L614)&gt;=Datos!$F$10,(Datos!$I$8+Datos!$J$8)+((G614-J614-L614)-Datos!$F$10)*Datos!$K$6))))</f>
        <v>7083.3069166666646</v>
      </c>
      <c r="L614" s="163">
        <f>IF(G614&gt;=Datos!$D$15,(Datos!$D$15*Datos!$C$15),IF(G614&lt;=Datos!$D$15,(G614*Datos!$C$15)))</f>
        <v>2390.96</v>
      </c>
      <c r="M614" s="162">
        <v>25</v>
      </c>
      <c r="N614" s="162">
        <f t="shared" si="496"/>
        <v>11756.521916666665</v>
      </c>
      <c r="O614" s="191">
        <f t="shared" si="497"/>
        <v>66893.478083333335</v>
      </c>
    </row>
    <row r="615" spans="1:15" s="234" customFormat="1" ht="36.75" customHeight="1" x14ac:dyDescent="0.2">
      <c r="A615" s="277" t="s">
        <v>455</v>
      </c>
      <c r="B615" s="278"/>
      <c r="C615" s="232">
        <v>11</v>
      </c>
      <c r="D615" s="232"/>
      <c r="E615" s="233"/>
      <c r="F615" s="166"/>
      <c r="G615" s="167">
        <f>SUM(G604:G614)</f>
        <v>836856.67999999993</v>
      </c>
      <c r="H615" s="167">
        <f t="shared" ref="H615:O615" si="498">SUM(H604:H614)</f>
        <v>0</v>
      </c>
      <c r="I615" s="167">
        <f t="shared" si="498"/>
        <v>836856.67999999993</v>
      </c>
      <c r="J615" s="167">
        <f t="shared" si="498"/>
        <v>24017.786715999999</v>
      </c>
      <c r="K615" s="167">
        <f t="shared" si="498"/>
        <v>73795.813166666674</v>
      </c>
      <c r="L615" s="167">
        <f t="shared" si="498"/>
        <v>25440.443071999998</v>
      </c>
      <c r="M615" s="167">
        <f t="shared" si="498"/>
        <v>1990.46</v>
      </c>
      <c r="N615" s="167">
        <f t="shared" si="498"/>
        <v>125244.50295466666</v>
      </c>
      <c r="O615" s="167">
        <f t="shared" si="498"/>
        <v>711612.17704533343</v>
      </c>
    </row>
    <row r="616" spans="1:15" ht="36.75" customHeight="1" x14ac:dyDescent="0.2">
      <c r="A616" s="277" t="s">
        <v>624</v>
      </c>
      <c r="B616" s="278"/>
      <c r="C616" s="278"/>
      <c r="D616" s="278"/>
      <c r="E616" s="278"/>
      <c r="F616" s="278"/>
      <c r="G616" s="278"/>
      <c r="H616" s="278"/>
      <c r="I616" s="278"/>
      <c r="J616" s="278"/>
      <c r="K616" s="278"/>
      <c r="L616" s="278"/>
      <c r="M616" s="278"/>
      <c r="N616" s="278"/>
      <c r="O616" s="279"/>
    </row>
    <row r="617" spans="1:15" ht="36.75" customHeight="1" x14ac:dyDescent="0.2">
      <c r="A617" s="225">
        <v>507</v>
      </c>
      <c r="B617" s="227" t="s">
        <v>627</v>
      </c>
      <c r="C617" s="227" t="s">
        <v>332</v>
      </c>
      <c r="D617" s="99" t="s">
        <v>452</v>
      </c>
      <c r="E617" s="228" t="s">
        <v>280</v>
      </c>
      <c r="F617" s="228" t="s">
        <v>19</v>
      </c>
      <c r="G617" s="162">
        <v>35000</v>
      </c>
      <c r="H617" s="162">
        <v>0</v>
      </c>
      <c r="I617" s="162">
        <f t="shared" ref="I617:I626" si="499">SUM(G617:H617)</f>
        <v>35000</v>
      </c>
      <c r="J617" s="163">
        <f>IF(G617&gt;=Datos!$D$14,(Datos!$D$14*Datos!$C$14),IF(G617&lt;=Datos!$D$14,(G617*Datos!$C$14)))</f>
        <v>1004.5</v>
      </c>
      <c r="K617" s="164" t="str">
        <f>IF((G617-J617-L617)&lt;=Datos!$G$7,"0",IF((G617-J617-L617)&lt;=Datos!$G$8,((G617-J617-L617)-Datos!$F$8)*Datos!$I$6,IF((G617-J617-L617)&lt;=Datos!$G$9,Datos!$I$8+((G617-J617-L617)-Datos!$F$9)*Datos!$J$6,IF((G617-J617-L617)&gt;=Datos!$F$10,(Datos!$I$8+Datos!$J$8)+((G617-J617-L617)-Datos!$F$10)*Datos!$K$6))))</f>
        <v>0</v>
      </c>
      <c r="L617" s="163">
        <f>IF(G617&gt;=Datos!$D$15,(Datos!$D$15*Datos!$C$15),IF(G617&lt;=Datos!$D$15,(G617*Datos!$C$15)))</f>
        <v>1064</v>
      </c>
      <c r="M617" s="162">
        <v>5025</v>
      </c>
      <c r="N617" s="162">
        <f t="shared" ref="N617:N622" si="500">SUM(J617:M617)</f>
        <v>7093.5</v>
      </c>
      <c r="O617" s="191">
        <f>+G617-N617</f>
        <v>27906.5</v>
      </c>
    </row>
    <row r="618" spans="1:15" ht="36.75" customHeight="1" x14ac:dyDescent="0.2">
      <c r="A618" s="225">
        <v>508</v>
      </c>
      <c r="B618" s="247" t="s">
        <v>845</v>
      </c>
      <c r="C618" s="227" t="s">
        <v>436</v>
      </c>
      <c r="D618" s="137" t="s">
        <v>310</v>
      </c>
      <c r="E618" s="228" t="s">
        <v>280</v>
      </c>
      <c r="F618" s="228" t="s">
        <v>19</v>
      </c>
      <c r="G618" s="162">
        <v>72600</v>
      </c>
      <c r="H618" s="162">
        <v>0</v>
      </c>
      <c r="I618" s="162">
        <f t="shared" si="499"/>
        <v>72600</v>
      </c>
      <c r="J618" s="163">
        <f>IF(G618&gt;=Datos!$D$14,(Datos!$D$14*Datos!$C$14),IF(G618&lt;=Datos!$D$14,(G618*Datos!$C$14)))</f>
        <v>2083.62</v>
      </c>
      <c r="K618" s="164">
        <v>5514.65</v>
      </c>
      <c r="L618" s="163">
        <f>IF(G618&gt;=Datos!$D$15,(Datos!$D$15*Datos!$C$15),IF(G618&lt;=Datos!$D$15,(G618*Datos!$C$15)))</f>
        <v>2207.04</v>
      </c>
      <c r="M618" s="162">
        <v>4740.46</v>
      </c>
      <c r="N618" s="162">
        <f t="shared" si="500"/>
        <v>14545.77</v>
      </c>
      <c r="O618" s="191">
        <f t="shared" ref="O618:O619" si="501">+G618-N618</f>
        <v>58054.229999999996</v>
      </c>
    </row>
    <row r="619" spans="1:15" ht="36.75" customHeight="1" x14ac:dyDescent="0.2">
      <c r="A619" s="225">
        <v>509</v>
      </c>
      <c r="B619" s="227" t="s">
        <v>333</v>
      </c>
      <c r="C619" s="227" t="s">
        <v>436</v>
      </c>
      <c r="D619" s="99" t="s">
        <v>628</v>
      </c>
      <c r="E619" s="228" t="s">
        <v>280</v>
      </c>
      <c r="F619" s="228" t="s">
        <v>19</v>
      </c>
      <c r="G619" s="162">
        <v>72600</v>
      </c>
      <c r="H619" s="162">
        <v>0</v>
      </c>
      <c r="I619" s="162">
        <f t="shared" si="499"/>
        <v>72600</v>
      </c>
      <c r="J619" s="163">
        <f>IF(G619&gt;=Datos!$D$14,(Datos!$D$14*Datos!$C$14),IF(G619&lt;=Datos!$D$14,(G619*Datos!$C$14)))</f>
        <v>2083.62</v>
      </c>
      <c r="K619" s="164">
        <v>5171.5600000000004</v>
      </c>
      <c r="L619" s="163">
        <f>IF(G619&gt;=Datos!$D$15,(Datos!$D$15*Datos!$C$15),IF(G619&lt;=Datos!$D$15,(G619*Datos!$C$15)))</f>
        <v>2207.04</v>
      </c>
      <c r="M619" s="162">
        <v>3455.92</v>
      </c>
      <c r="N619" s="162">
        <f t="shared" si="500"/>
        <v>12918.140000000001</v>
      </c>
      <c r="O619" s="191">
        <f t="shared" si="501"/>
        <v>59681.86</v>
      </c>
    </row>
    <row r="620" spans="1:15" ht="36.75" customHeight="1" x14ac:dyDescent="0.2">
      <c r="A620" s="225">
        <v>510</v>
      </c>
      <c r="B620" s="227" t="s">
        <v>523</v>
      </c>
      <c r="C620" s="227" t="s">
        <v>332</v>
      </c>
      <c r="D620" s="99" t="s">
        <v>1052</v>
      </c>
      <c r="E620" s="228" t="s">
        <v>280</v>
      </c>
      <c r="F620" s="228" t="s">
        <v>19</v>
      </c>
      <c r="G620" s="162">
        <f>66000+14000</f>
        <v>80000</v>
      </c>
      <c r="H620" s="162">
        <v>0</v>
      </c>
      <c r="I620" s="162">
        <f t="shared" si="499"/>
        <v>80000</v>
      </c>
      <c r="J620" s="163">
        <f>IF(G620&gt;=Datos!$D$14,(Datos!$D$14*Datos!$C$14),IF(G620&lt;=Datos!$D$14,(G620*Datos!$C$14)))</f>
        <v>2296</v>
      </c>
      <c r="K620" s="164">
        <f>4272.66+2699.34</f>
        <v>6972</v>
      </c>
      <c r="L620" s="163">
        <f>IF(G620&gt;=Datos!$D$15,(Datos!$D$15*Datos!$C$15),IF(G620&lt;=Datos!$D$15,(G620*Datos!$C$15)))</f>
        <v>2432</v>
      </c>
      <c r="M620" s="162">
        <v>3840.46</v>
      </c>
      <c r="N620" s="162">
        <f t="shared" si="500"/>
        <v>15540.46</v>
      </c>
      <c r="O620" s="191">
        <f>+G620-N620</f>
        <v>64459.54</v>
      </c>
    </row>
    <row r="621" spans="1:15" ht="36.75" customHeight="1" x14ac:dyDescent="0.2">
      <c r="A621" s="225">
        <v>511</v>
      </c>
      <c r="B621" s="227" t="s">
        <v>331</v>
      </c>
      <c r="C621" s="227" t="s">
        <v>332</v>
      </c>
      <c r="D621" s="99" t="s">
        <v>310</v>
      </c>
      <c r="E621" s="228" t="s">
        <v>280</v>
      </c>
      <c r="F621" s="228" t="s">
        <v>19</v>
      </c>
      <c r="G621" s="162">
        <v>72600</v>
      </c>
      <c r="H621" s="162">
        <v>0</v>
      </c>
      <c r="I621" s="162">
        <f t="shared" si="499"/>
        <v>72600</v>
      </c>
      <c r="J621" s="163">
        <f>IF(G621&gt;=Datos!$D$14,(Datos!$D$14*Datos!$C$14),IF(G621&lt;=Datos!$D$14,(G621*Datos!$C$14)))</f>
        <v>2083.62</v>
      </c>
      <c r="K621" s="164">
        <f>IF((G621-J621-L621)&lt;=Datos!$G$7,"0",IF((G621-J621-L621)&lt;=Datos!$G$8,((G621-J621-L621)-Datos!$F$8)*Datos!$I$6,IF((G621-J621-L621)&lt;=Datos!$G$9,Datos!$I$8+((G621-J621-L621)-Datos!$F$9)*Datos!$J$6,IF((G621-J621-L621)&gt;=Datos!$F$10,(Datos!$I$8+Datos!$J$8)+((G621-J621-L621)-Datos!$F$10)*Datos!$K$6))))</f>
        <v>5857.743666666669</v>
      </c>
      <c r="L621" s="163">
        <f>IF(G621&gt;=Datos!$D$15,(Datos!$D$15*Datos!$C$15),IF(G621&lt;=Datos!$D$15,(G621*Datos!$C$15)))</f>
        <v>2207.04</v>
      </c>
      <c r="M621" s="162">
        <v>2125</v>
      </c>
      <c r="N621" s="162">
        <f t="shared" si="500"/>
        <v>12273.403666666669</v>
      </c>
      <c r="O621" s="191">
        <f t="shared" ref="O621:O622" si="502">+G621-N621</f>
        <v>60326.596333333335</v>
      </c>
    </row>
    <row r="622" spans="1:15" ht="36.75" customHeight="1" x14ac:dyDescent="0.2">
      <c r="A622" s="225">
        <v>512</v>
      </c>
      <c r="B622" s="227" t="s">
        <v>49</v>
      </c>
      <c r="C622" s="227" t="s">
        <v>332</v>
      </c>
      <c r="D622" s="99" t="s">
        <v>629</v>
      </c>
      <c r="E622" s="228" t="s">
        <v>280</v>
      </c>
      <c r="F622" s="228" t="s">
        <v>281</v>
      </c>
      <c r="G622" s="162">
        <v>72600</v>
      </c>
      <c r="H622" s="162">
        <v>0</v>
      </c>
      <c r="I622" s="162">
        <f t="shared" si="499"/>
        <v>72600</v>
      </c>
      <c r="J622" s="163">
        <f>IF(G622&gt;=Datos!$D$14,(Datos!$D$14*Datos!$C$14),IF(G622&lt;=Datos!$D$14,(G622*Datos!$C$14)))</f>
        <v>2083.62</v>
      </c>
      <c r="K622" s="164">
        <f>IF((G622-J622-L622)&lt;=Datos!$G$7,"0",IF((G622-J622-L622)&lt;=Datos!$G$8,((G622-J622-L622)-Datos!$F$8)*Datos!$I$6,IF((G622-J622-L622)&lt;=Datos!$G$9,Datos!$I$8+((G622-J622-L622)-Datos!$F$9)*Datos!$J$6,IF((G622-J622-L622)&gt;=Datos!$F$10,(Datos!$I$8+Datos!$J$8)+((G622-J622-L622)-Datos!$F$10)*Datos!$K$6))))</f>
        <v>5857.743666666669</v>
      </c>
      <c r="L622" s="163">
        <f>IF(G622&gt;=Datos!$D$15,(Datos!$D$15*Datos!$C$15),IF(G622&lt;=Datos!$D$15,(G622*Datos!$C$15)))</f>
        <v>2207.04</v>
      </c>
      <c r="M622" s="162">
        <v>25</v>
      </c>
      <c r="N622" s="162">
        <f t="shared" si="500"/>
        <v>10173.403666666669</v>
      </c>
      <c r="O622" s="191">
        <f t="shared" si="502"/>
        <v>62426.596333333335</v>
      </c>
    </row>
    <row r="623" spans="1:15" ht="36.75" customHeight="1" x14ac:dyDescent="0.2">
      <c r="A623" s="225">
        <v>513</v>
      </c>
      <c r="B623" s="227" t="s">
        <v>334</v>
      </c>
      <c r="C623" s="227" t="s">
        <v>332</v>
      </c>
      <c r="D623" s="99" t="s">
        <v>628</v>
      </c>
      <c r="E623" s="228" t="s">
        <v>280</v>
      </c>
      <c r="F623" s="228" t="s">
        <v>19</v>
      </c>
      <c r="G623" s="162">
        <v>72600</v>
      </c>
      <c r="H623" s="162">
        <v>0</v>
      </c>
      <c r="I623" s="162">
        <f t="shared" si="499"/>
        <v>72600</v>
      </c>
      <c r="J623" s="163">
        <f>IF(G623&gt;=Datos!$D$14,(Datos!$D$14*Datos!$C$14),IF(G623&lt;=Datos!$D$14,(G623*Datos!$C$14)))</f>
        <v>2083.62</v>
      </c>
      <c r="K623" s="164">
        <f>IF((G623-J623-L623)&lt;=Datos!$G$7,"0",IF((G623-J623-L623)&lt;=Datos!$G$8,((G623-J623-L623)-Datos!$F$8)*Datos!$I$6,IF((G623-J623-L623)&lt;=Datos!$G$9,Datos!$I$8+((G623-J623-L623)-Datos!$F$9)*Datos!$J$6,IF((G623-J623-L623)&gt;=Datos!$F$10,(Datos!$I$8+Datos!$J$8)+((G623-J623-L623)-Datos!$F$10)*Datos!$K$6))))</f>
        <v>5857.743666666669</v>
      </c>
      <c r="L623" s="163">
        <f>IF(G623&gt;=Datos!$D$15,(Datos!$D$15*Datos!$C$15),IF(G623&lt;=Datos!$D$15,(G623*Datos!$C$15)))</f>
        <v>2207.04</v>
      </c>
      <c r="M623" s="162">
        <v>25</v>
      </c>
      <c r="N623" s="162">
        <f t="shared" ref="N623:N626" si="503">SUM(J623:M623)</f>
        <v>10173.403666666669</v>
      </c>
      <c r="O623" s="191">
        <f t="shared" ref="O623:O626" si="504">+G623-N623</f>
        <v>62426.596333333335</v>
      </c>
    </row>
    <row r="624" spans="1:15" ht="36.75" customHeight="1" x14ac:dyDescent="0.2">
      <c r="A624" s="225">
        <v>514</v>
      </c>
      <c r="B624" s="226" t="s">
        <v>351</v>
      </c>
      <c r="C624" s="227" t="s">
        <v>436</v>
      </c>
      <c r="D624" s="137" t="s">
        <v>1055</v>
      </c>
      <c r="E624" s="228" t="s">
        <v>280</v>
      </c>
      <c r="F624" s="228" t="s">
        <v>281</v>
      </c>
      <c r="G624" s="138">
        <v>120000</v>
      </c>
      <c r="H624" s="162">
        <v>0</v>
      </c>
      <c r="I624" s="162">
        <f t="shared" si="499"/>
        <v>120000</v>
      </c>
      <c r="J624" s="163">
        <f>IF(G624&gt;=Datos!$D$14,(Datos!$D$14*Datos!$C$14),IF(G624&lt;=Datos!$D$14,(G624*Datos!$C$14)))</f>
        <v>3444</v>
      </c>
      <c r="K624" s="164">
        <f>IF((G624-J624-L624)&lt;=Datos!$G$7,"0",IF((G624-J624-L624)&lt;=Datos!$G$8,((G624-J624-L624)-Datos!$F$8)*Datos!$I$6,IF((G624-J624-L624)&lt;=Datos!$G$9,Datos!$I$8+((G624-J624-L624)-Datos!$F$9)*Datos!$J$6,IF((G624-J624-L624)&gt;=Datos!$F$10,(Datos!$I$8+Datos!$J$8)+((G624-J624-L624)-Datos!$F$10)*Datos!$K$6))))</f>
        <v>16809.860666666667</v>
      </c>
      <c r="L624" s="163">
        <f>IF(G624&gt;=Datos!$D$15,(Datos!$D$15*Datos!$C$15),IF(G624&lt;=Datos!$D$15,(G624*Datos!$C$15)))</f>
        <v>3648</v>
      </c>
      <c r="M624" s="162">
        <v>25</v>
      </c>
      <c r="N624" s="162">
        <f t="shared" si="503"/>
        <v>23926.860666666667</v>
      </c>
      <c r="O624" s="191">
        <f t="shared" si="504"/>
        <v>96073.139333333325</v>
      </c>
    </row>
    <row r="625" spans="1:16" ht="36.75" customHeight="1" x14ac:dyDescent="0.2">
      <c r="A625" s="225">
        <v>515</v>
      </c>
      <c r="B625" s="227" t="s">
        <v>844</v>
      </c>
      <c r="C625" s="227" t="s">
        <v>332</v>
      </c>
      <c r="D625" s="227" t="s">
        <v>310</v>
      </c>
      <c r="E625" s="228" t="s">
        <v>280</v>
      </c>
      <c r="F625" s="228" t="s">
        <v>19</v>
      </c>
      <c r="G625" s="162">
        <v>72600</v>
      </c>
      <c r="H625" s="162">
        <v>0</v>
      </c>
      <c r="I625" s="162">
        <f t="shared" si="499"/>
        <v>72600</v>
      </c>
      <c r="J625" s="163">
        <f>IF(G625&gt;=Datos!$D$14,(Datos!$D$14*Datos!$C$14),IF(G625&lt;=Datos!$D$14,(G625*Datos!$C$14)))</f>
        <v>2083.62</v>
      </c>
      <c r="K625" s="164">
        <f>IF((G625-J625-L625)&lt;=Datos!$G$7,"0",IF((G625-J625-L625)&lt;=Datos!$G$8,((G625-J625-L625)-Datos!$F$8)*Datos!$I$6,IF((G625-J625-L625)&lt;=Datos!$G$9,Datos!$I$8+((G625-J625-L625)-Datos!$F$9)*Datos!$J$6,IF((G625-J625-L625)&gt;=Datos!$F$10,(Datos!$I$8+Datos!$J$8)+((G625-J625-L625)-Datos!$F$10)*Datos!$K$6))))</f>
        <v>5857.743666666669</v>
      </c>
      <c r="L625" s="163">
        <f>IF(G625&gt;=Datos!$D$15,(Datos!$D$15*Datos!$C$15),IF(G625&lt;=Datos!$D$15,(G625*Datos!$C$15)))</f>
        <v>2207.04</v>
      </c>
      <c r="M625" s="162">
        <v>2025</v>
      </c>
      <c r="N625" s="162">
        <f t="shared" si="503"/>
        <v>12173.403666666669</v>
      </c>
      <c r="O625" s="191">
        <f t="shared" si="504"/>
        <v>60426.596333333335</v>
      </c>
    </row>
    <row r="626" spans="1:16" ht="36.75" customHeight="1" x14ac:dyDescent="0.2">
      <c r="A626" s="225">
        <v>516</v>
      </c>
      <c r="B626" s="227" t="s">
        <v>535</v>
      </c>
      <c r="C626" s="227" t="s">
        <v>332</v>
      </c>
      <c r="D626" s="99" t="s">
        <v>629</v>
      </c>
      <c r="E626" s="228" t="s">
        <v>280</v>
      </c>
      <c r="F626" s="228" t="s">
        <v>19</v>
      </c>
      <c r="G626" s="162">
        <v>72600</v>
      </c>
      <c r="H626" s="162">
        <v>0</v>
      </c>
      <c r="I626" s="162">
        <f t="shared" si="499"/>
        <v>72600</v>
      </c>
      <c r="J626" s="163">
        <f>IF(G626&gt;=Datos!$D$14,(Datos!$D$14*Datos!$C$14),IF(G626&lt;=Datos!$D$14,(G626*Datos!$C$14)))</f>
        <v>2083.62</v>
      </c>
      <c r="K626" s="164">
        <f>IF((G626-J626-L626)&lt;=Datos!$G$7,"0",IF((G626-J626-L626)&lt;=Datos!$G$8,((G626-J626-L626)-Datos!$F$8)*Datos!$I$6,IF((G626-J626-L626)&lt;=Datos!$G$9,Datos!$I$8+((G626-J626-L626)-Datos!$F$9)*Datos!$J$6,IF((G626-J626-L626)&gt;=Datos!$F$10,(Datos!$I$8+Datos!$J$8)+((G626-J626-L626)-Datos!$F$10)*Datos!$K$6))))</f>
        <v>5857.743666666669</v>
      </c>
      <c r="L626" s="163">
        <f>IF(G626&gt;=Datos!$D$15,(Datos!$D$15*Datos!$C$15),IF(G626&lt;=Datos!$D$15,(G626*Datos!$C$15)))</f>
        <v>2207.04</v>
      </c>
      <c r="M626" s="162">
        <v>25</v>
      </c>
      <c r="N626" s="162">
        <f t="shared" si="503"/>
        <v>10173.403666666669</v>
      </c>
      <c r="O626" s="191">
        <f t="shared" si="504"/>
        <v>62426.596333333335</v>
      </c>
    </row>
    <row r="627" spans="1:16" s="85" customFormat="1" ht="36.75" customHeight="1" x14ac:dyDescent="0.2">
      <c r="A627" s="303" t="s">
        <v>455</v>
      </c>
      <c r="B627" s="304"/>
      <c r="C627" s="187">
        <v>10</v>
      </c>
      <c r="D627" s="187"/>
      <c r="E627" s="188"/>
      <c r="F627" s="189"/>
      <c r="G627" s="120">
        <f t="shared" ref="G627:O627" si="505">SUM(G617:G626)</f>
        <v>743200</v>
      </c>
      <c r="H627" s="120">
        <f t="shared" si="505"/>
        <v>0</v>
      </c>
      <c r="I627" s="120">
        <f t="shared" si="505"/>
        <v>743200</v>
      </c>
      <c r="J627" s="120">
        <f t="shared" si="505"/>
        <v>21329.839999999997</v>
      </c>
      <c r="K627" s="120">
        <f t="shared" si="505"/>
        <v>63756.789000000012</v>
      </c>
      <c r="L627" s="120">
        <f t="shared" si="505"/>
        <v>22593.280000000002</v>
      </c>
      <c r="M627" s="120">
        <f t="shared" si="505"/>
        <v>21311.84</v>
      </c>
      <c r="N627" s="120">
        <f t="shared" si="505"/>
        <v>128991.74900000001</v>
      </c>
      <c r="O627" s="120">
        <f t="shared" si="505"/>
        <v>614208.25099999993</v>
      </c>
    </row>
    <row r="628" spans="1:16" ht="36.75" customHeight="1" thickBot="1" x14ac:dyDescent="0.25">
      <c r="A628" s="301" t="s">
        <v>278</v>
      </c>
      <c r="B628" s="300"/>
      <c r="C628" s="298"/>
      <c r="D628" s="299"/>
      <c r="E628" s="299"/>
      <c r="F628" s="300"/>
      <c r="G628" s="192">
        <f t="shared" ref="G628:O628" si="506">+G386+G294+G234+G17+G627+G536+G167+G615+G237+G602+G181+G598+G533+G530+G501+G429+G426+G406+G378+G46+G375+G367+G358+G350+G339+G336+G330+G320+G311+G291+G287+G283+G278+G274+G268+G264+G256+G251+G231+G214+G178+G156+G70+G65+G56+G42+G37+G29+G21+G14+G218</f>
        <v>27652086.270000003</v>
      </c>
      <c r="H628" s="192">
        <f t="shared" si="506"/>
        <v>0</v>
      </c>
      <c r="I628" s="192">
        <f t="shared" si="506"/>
        <v>27652086.270000003</v>
      </c>
      <c r="J628" s="192">
        <f t="shared" si="506"/>
        <v>793614.87594899978</v>
      </c>
      <c r="K628" s="192">
        <f t="shared" si="506"/>
        <v>1915761.1993777337</v>
      </c>
      <c r="L628" s="192">
        <f t="shared" si="506"/>
        <v>839612.56260800024</v>
      </c>
      <c r="M628" s="192">
        <f t="shared" si="506"/>
        <v>587370.60000000021</v>
      </c>
      <c r="N628" s="192">
        <f t="shared" si="506"/>
        <v>4136359.2379347347</v>
      </c>
      <c r="O628" s="192">
        <f t="shared" si="506"/>
        <v>23515727.032065272</v>
      </c>
    </row>
    <row r="629" spans="1:16" s="13" customFormat="1" ht="36.75" customHeight="1" x14ac:dyDescent="0.2">
      <c r="B629" s="168"/>
      <c r="C629" s="169"/>
      <c r="D629" s="170"/>
      <c r="E629" s="170"/>
      <c r="F629" s="170"/>
      <c r="G629" s="158"/>
      <c r="H629" s="197"/>
      <c r="I629" s="158"/>
      <c r="J629" s="158"/>
      <c r="K629" s="158"/>
      <c r="L629" s="158"/>
      <c r="M629" s="158"/>
      <c r="N629" s="158"/>
      <c r="O629" s="158"/>
      <c r="P629"/>
    </row>
    <row r="630" spans="1:16" ht="36.75" customHeight="1" x14ac:dyDescent="0.2">
      <c r="A630"/>
      <c r="C630" s="2" t="s">
        <v>20</v>
      </c>
      <c r="E630" s="171"/>
      <c r="F630"/>
      <c r="G630" s="290" t="s">
        <v>22</v>
      </c>
      <c r="H630" s="290"/>
      <c r="I630" s="7"/>
      <c r="J630" s="172"/>
      <c r="K630" s="158"/>
      <c r="L630" s="173"/>
      <c r="M630" s="2" t="s">
        <v>22</v>
      </c>
      <c r="N630" s="2"/>
      <c r="O630"/>
    </row>
    <row r="631" spans="1:16" ht="27" customHeight="1" x14ac:dyDescent="0.2">
      <c r="A631"/>
      <c r="C631" s="2"/>
      <c r="E631" s="171"/>
      <c r="F631"/>
      <c r="G631" s="195"/>
      <c r="H631" s="196"/>
      <c r="I631" s="173"/>
      <c r="J631" s="174"/>
      <c r="K631" s="215"/>
      <c r="L631" s="173"/>
      <c r="M631" s="173"/>
      <c r="N631" s="173"/>
      <c r="O631" s="195"/>
    </row>
    <row r="632" spans="1:16" ht="27" customHeight="1" x14ac:dyDescent="0.2">
      <c r="A632"/>
      <c r="C632" s="2"/>
      <c r="E632" s="175"/>
      <c r="F632"/>
      <c r="G632"/>
      <c r="I632" s="7"/>
      <c r="J632" s="172"/>
      <c r="K632" s="216"/>
      <c r="L632" s="7"/>
      <c r="M632" s="7"/>
      <c r="N632" s="7"/>
      <c r="O632"/>
    </row>
    <row r="633" spans="1:16" ht="27" customHeight="1" x14ac:dyDescent="0.2">
      <c r="A633"/>
      <c r="C633" s="139"/>
      <c r="D633" s="171"/>
      <c r="E633" s="171"/>
      <c r="F633"/>
      <c r="G633" s="139"/>
      <c r="H633" s="159"/>
      <c r="I633" s="7"/>
      <c r="J633" s="172"/>
      <c r="K633"/>
      <c r="L633" s="7"/>
      <c r="M633" s="176"/>
      <c r="N633" s="7"/>
      <c r="O633"/>
    </row>
    <row r="634" spans="1:16" ht="24.75" customHeight="1" x14ac:dyDescent="0.2">
      <c r="C634" s="2" t="s">
        <v>21</v>
      </c>
      <c r="D634" s="177"/>
      <c r="E634" s="171"/>
      <c r="F634"/>
      <c r="G634" s="297" t="s">
        <v>24</v>
      </c>
      <c r="H634" s="297"/>
      <c r="I634" s="7"/>
      <c r="J634" s="178"/>
      <c r="K634" s="158"/>
      <c r="L634" s="7"/>
      <c r="M634" s="2" t="s">
        <v>23</v>
      </c>
      <c r="N634" s="2"/>
      <c r="O634"/>
    </row>
    <row r="635" spans="1:16" ht="24.75" customHeight="1" x14ac:dyDescent="0.2">
      <c r="D635" s="171"/>
      <c r="E635" s="171"/>
      <c r="F635" s="171"/>
      <c r="K635" s="184"/>
      <c r="L635" s="179"/>
    </row>
    <row r="636" spans="1:16" x14ac:dyDescent="0.2">
      <c r="D636" s="180"/>
      <c r="E636" s="171"/>
      <c r="K636" s="217"/>
      <c r="L636" s="181"/>
    </row>
    <row r="637" spans="1:16" x14ac:dyDescent="0.2">
      <c r="E637" s="171"/>
    </row>
    <row r="638" spans="1:16" x14ac:dyDescent="0.2">
      <c r="D638" s="182"/>
      <c r="E638" s="183"/>
      <c r="F638" s="2" t="s">
        <v>782</v>
      </c>
      <c r="G638" s="184">
        <v>129000</v>
      </c>
      <c r="H638" s="184">
        <v>0</v>
      </c>
      <c r="I638" s="184">
        <f>+G638</f>
        <v>129000</v>
      </c>
      <c r="J638" s="184">
        <v>3702.3</v>
      </c>
      <c r="K638" s="184">
        <v>29665.57</v>
      </c>
      <c r="L638" s="184">
        <v>3921.6</v>
      </c>
      <c r="M638" s="184">
        <v>0</v>
      </c>
      <c r="N638" s="184">
        <v>37289.47</v>
      </c>
      <c r="O638" s="184">
        <v>91710.53</v>
      </c>
    </row>
    <row r="639" spans="1:16" ht="14.25" x14ac:dyDescent="0.2">
      <c r="A639" s="9"/>
      <c r="B639" s="20"/>
      <c r="C639" s="8"/>
      <c r="D639" s="78"/>
      <c r="E639" s="20"/>
      <c r="F639" s="78" t="s">
        <v>783</v>
      </c>
      <c r="G639" s="184">
        <v>478027.7</v>
      </c>
      <c r="H639" s="184">
        <v>0</v>
      </c>
      <c r="I639" s="184">
        <v>478027.7</v>
      </c>
      <c r="J639" s="184">
        <v>13719.39</v>
      </c>
      <c r="K639" s="184">
        <v>84428.07</v>
      </c>
      <c r="L639" s="184">
        <v>14532.04</v>
      </c>
      <c r="M639" s="184">
        <v>0</v>
      </c>
      <c r="N639" s="184">
        <v>112679.5</v>
      </c>
      <c r="O639" s="184">
        <v>365348.2</v>
      </c>
    </row>
    <row r="640" spans="1:16" ht="21.75" customHeight="1" x14ac:dyDescent="0.2">
      <c r="A640" s="90"/>
      <c r="B640" s="20"/>
      <c r="D640"/>
      <c r="E640"/>
      <c r="F640" s="81" t="s">
        <v>784</v>
      </c>
      <c r="G640" s="184">
        <v>27045058.57</v>
      </c>
      <c r="H640" s="184">
        <v>0</v>
      </c>
      <c r="I640" s="184">
        <v>27045058.57</v>
      </c>
      <c r="J640" s="184">
        <v>776193.4</v>
      </c>
      <c r="K640" s="184">
        <v>1801668.2</v>
      </c>
      <c r="L640" s="184">
        <v>821158.86</v>
      </c>
      <c r="M640" s="184">
        <v>587370.6</v>
      </c>
      <c r="N640" s="184">
        <v>3986391.06</v>
      </c>
      <c r="O640" s="184">
        <v>23058667.510000002</v>
      </c>
    </row>
    <row r="641" spans="1:15" ht="21.75" customHeight="1" x14ac:dyDescent="0.2">
      <c r="A641" s="9"/>
      <c r="B641" s="20"/>
      <c r="D641"/>
      <c r="E641"/>
      <c r="F641" s="20" t="s">
        <v>400</v>
      </c>
      <c r="G641" s="184">
        <f t="shared" ref="G641:O641" si="507">SUM(G638:G640)</f>
        <v>27652086.27</v>
      </c>
      <c r="H641" s="184">
        <f t="shared" si="507"/>
        <v>0</v>
      </c>
      <c r="I641" s="184">
        <f t="shared" si="507"/>
        <v>27652086.27</v>
      </c>
      <c r="J641" s="184">
        <f t="shared" si="507"/>
        <v>793615.09</v>
      </c>
      <c r="K641" s="184">
        <f t="shared" si="507"/>
        <v>1915761.8399999999</v>
      </c>
      <c r="L641" s="184">
        <f t="shared" si="507"/>
        <v>839612.5</v>
      </c>
      <c r="M641" s="184">
        <f t="shared" si="507"/>
        <v>587370.6</v>
      </c>
      <c r="N641" s="184">
        <f t="shared" si="507"/>
        <v>4136360.0300000003</v>
      </c>
      <c r="O641" s="184">
        <f t="shared" si="507"/>
        <v>23515726.240000002</v>
      </c>
    </row>
    <row r="642" spans="1:15" ht="21.75" customHeight="1" x14ac:dyDescent="0.2">
      <c r="A642" s="9"/>
      <c r="B642" s="20"/>
      <c r="D642"/>
      <c r="E642"/>
      <c r="F642" s="20"/>
      <c r="G642" s="184">
        <f t="shared" ref="G642:O642" si="508">+G628-G641</f>
        <v>0</v>
      </c>
      <c r="H642" s="184">
        <f t="shared" si="508"/>
        <v>0</v>
      </c>
      <c r="I642" s="184">
        <f t="shared" si="508"/>
        <v>0</v>
      </c>
      <c r="J642" s="184">
        <f t="shared" si="508"/>
        <v>-0.2140510001918301</v>
      </c>
      <c r="K642" s="184">
        <f t="shared" si="508"/>
        <v>-0.64062226610258222</v>
      </c>
      <c r="L642" s="184">
        <f t="shared" si="508"/>
        <v>6.2608000240288675E-2</v>
      </c>
      <c r="M642" s="184">
        <f t="shared" si="508"/>
        <v>0</v>
      </c>
      <c r="N642" s="184">
        <f t="shared" si="508"/>
        <v>-0.79206526558846235</v>
      </c>
      <c r="O642" s="184">
        <f t="shared" si="508"/>
        <v>0.79206527024507523</v>
      </c>
    </row>
    <row r="643" spans="1:15" ht="21.75" customHeight="1" x14ac:dyDescent="0.2">
      <c r="A643" s="9"/>
      <c r="B643" s="20"/>
      <c r="C643" s="8"/>
      <c r="D643" s="78"/>
      <c r="E643" s="20"/>
      <c r="F643" s="20"/>
      <c r="G643" s="82"/>
      <c r="H643" s="79"/>
      <c r="I643" s="9"/>
      <c r="J643" s="18"/>
      <c r="K643" s="9"/>
      <c r="L643" s="18"/>
      <c r="M643" s="18"/>
      <c r="N643" s="18"/>
      <c r="O643" s="18"/>
    </row>
    <row r="644" spans="1:15" ht="21.75" customHeight="1" x14ac:dyDescent="0.2">
      <c r="A644" s="9"/>
      <c r="B644" s="20"/>
      <c r="C644" s="8"/>
      <c r="D644" s="20"/>
      <c r="E644" s="20"/>
      <c r="F644" s="20"/>
      <c r="G644" s="9"/>
      <c r="H644" s="9"/>
      <c r="I644" s="9"/>
      <c r="J644" s="18"/>
      <c r="K644" s="211"/>
      <c r="L644" s="18"/>
      <c r="M644" s="18"/>
      <c r="N644" s="18"/>
      <c r="O644" s="18"/>
    </row>
    <row r="645" spans="1:15" ht="21.75" customHeight="1" x14ac:dyDescent="0.2">
      <c r="A645" s="9"/>
      <c r="B645" s="20"/>
      <c r="C645" s="8"/>
      <c r="D645" s="80"/>
      <c r="E645" s="20"/>
      <c r="F645" s="20"/>
      <c r="G645" s="83"/>
      <c r="H645" s="9"/>
      <c r="I645" s="9"/>
      <c r="J645" s="18"/>
      <c r="K645" s="9"/>
      <c r="L645" s="18"/>
      <c r="M645" s="18"/>
      <c r="N645" s="18"/>
      <c r="O645" s="18"/>
    </row>
    <row r="646" spans="1:15" ht="21.75" customHeight="1" x14ac:dyDescent="0.2">
      <c r="A646" s="9"/>
      <c r="B646" s="20"/>
      <c r="C646" s="8"/>
      <c r="D646" s="20"/>
      <c r="E646" s="20"/>
      <c r="F646" s="20"/>
      <c r="G646" s="9"/>
      <c r="H646" s="9"/>
      <c r="I646" s="9"/>
      <c r="J646" s="18"/>
      <c r="K646" s="218"/>
      <c r="L646" s="18"/>
      <c r="M646" s="18"/>
      <c r="N646" s="18"/>
      <c r="O646" s="18"/>
    </row>
    <row r="647" spans="1:15" ht="21.75" customHeight="1" x14ac:dyDescent="0.2">
      <c r="A647" s="9"/>
      <c r="B647" s="20"/>
      <c r="C647" s="8"/>
      <c r="D647" s="20"/>
      <c r="E647" s="20"/>
      <c r="F647" s="20"/>
      <c r="G647" s="9"/>
      <c r="H647" s="9"/>
      <c r="I647" s="9"/>
      <c r="J647" s="18"/>
      <c r="K647" s="9"/>
      <c r="L647" s="18"/>
      <c r="M647" s="18"/>
      <c r="N647" s="18"/>
      <c r="O647" s="18"/>
    </row>
    <row r="648" spans="1:15" ht="21.75" customHeight="1" x14ac:dyDescent="0.2">
      <c r="A648" s="9"/>
      <c r="B648" s="20"/>
      <c r="C648" s="8"/>
      <c r="D648" s="20"/>
      <c r="E648" s="20"/>
      <c r="F648" s="20"/>
      <c r="G648" s="9"/>
      <c r="H648" s="9"/>
      <c r="I648" s="9"/>
      <c r="J648" s="18"/>
      <c r="K648" s="9"/>
      <c r="L648" s="18"/>
      <c r="M648" s="18"/>
      <c r="N648" s="18"/>
      <c r="O648" s="18"/>
    </row>
    <row r="649" spans="1:15" ht="21.75" customHeight="1" x14ac:dyDescent="0.2">
      <c r="A649" s="9"/>
      <c r="B649" s="20"/>
      <c r="C649" s="8"/>
      <c r="D649" s="20"/>
      <c r="E649" s="20"/>
      <c r="F649" s="20"/>
      <c r="G649" s="9"/>
      <c r="H649" s="9"/>
      <c r="I649" s="9"/>
      <c r="J649" s="18"/>
      <c r="K649" s="9"/>
      <c r="L649" s="18"/>
      <c r="M649" s="18"/>
      <c r="N649" s="18"/>
      <c r="O649" s="18"/>
    </row>
    <row r="650" spans="1:15" ht="21.75" customHeight="1" x14ac:dyDescent="0.2">
      <c r="A650" s="9"/>
      <c r="B650" s="20"/>
      <c r="C650" s="8"/>
      <c r="D650" s="20"/>
      <c r="E650" s="20"/>
      <c r="F650" s="20"/>
      <c r="G650" s="9"/>
      <c r="H650" s="9"/>
      <c r="I650" s="9"/>
      <c r="J650" s="18"/>
      <c r="K650" s="9"/>
      <c r="L650" s="18"/>
      <c r="M650" s="18"/>
      <c r="N650" s="18"/>
      <c r="O650" s="18"/>
    </row>
    <row r="651" spans="1:15" ht="21.75" customHeight="1" x14ac:dyDescent="0.2">
      <c r="A651" s="9"/>
      <c r="B651" s="20"/>
      <c r="C651" s="8"/>
      <c r="D651" s="20"/>
      <c r="E651" s="20"/>
      <c r="F651" s="20"/>
      <c r="G651" s="9"/>
      <c r="H651" s="9"/>
      <c r="I651" s="9"/>
      <c r="J651" s="18"/>
      <c r="K651" s="9"/>
      <c r="L651" s="18"/>
      <c r="M651" s="18"/>
      <c r="N651" s="18"/>
      <c r="O651" s="18"/>
    </row>
    <row r="652" spans="1:15" ht="21.75" customHeight="1" x14ac:dyDescent="0.2">
      <c r="A652" s="9"/>
      <c r="B652" s="20"/>
      <c r="C652" s="8"/>
      <c r="D652" s="20"/>
      <c r="E652" s="20"/>
      <c r="F652" s="20"/>
      <c r="G652" s="9"/>
      <c r="H652" s="9"/>
      <c r="I652" s="9"/>
      <c r="J652" s="18"/>
      <c r="K652" s="9"/>
      <c r="L652" s="18"/>
      <c r="M652" s="18"/>
      <c r="N652" s="18"/>
      <c r="O652" s="18"/>
    </row>
    <row r="653" spans="1:15" ht="21.75" customHeight="1" x14ac:dyDescent="0.2">
      <c r="A653" s="9"/>
      <c r="B653" s="20"/>
      <c r="C653" s="8"/>
      <c r="D653" s="20"/>
      <c r="E653" s="20"/>
      <c r="F653" s="20"/>
      <c r="G653" s="9"/>
      <c r="H653" s="9"/>
      <c r="I653" s="9"/>
      <c r="J653" s="18"/>
      <c r="K653" s="9"/>
      <c r="L653" s="18"/>
      <c r="M653" s="18"/>
      <c r="N653" s="18"/>
      <c r="O653" s="18"/>
    </row>
    <row r="654" spans="1:15" ht="21.75" customHeight="1" x14ac:dyDescent="0.2">
      <c r="A654" s="9"/>
      <c r="B654" s="20"/>
      <c r="C654" s="8"/>
      <c r="D654" s="20"/>
      <c r="E654" s="20"/>
      <c r="F654" s="20"/>
      <c r="G654" s="9"/>
      <c r="H654" s="9"/>
      <c r="I654" s="9"/>
      <c r="J654" s="18"/>
      <c r="K654" s="9"/>
      <c r="L654" s="18"/>
      <c r="M654" s="18"/>
      <c r="N654" s="18"/>
      <c r="O654" s="18"/>
    </row>
    <row r="655" spans="1:15" ht="21.75" customHeight="1" x14ac:dyDescent="0.2">
      <c r="A655" s="9"/>
      <c r="B655" s="20"/>
      <c r="C655" s="8"/>
      <c r="D655" s="20"/>
      <c r="E655" s="20"/>
      <c r="F655" s="20"/>
      <c r="G655" s="9"/>
      <c r="H655" s="9"/>
      <c r="I655" s="9"/>
      <c r="J655" s="18"/>
      <c r="K655" s="9"/>
      <c r="L655" s="18"/>
      <c r="M655" s="18"/>
      <c r="N655" s="18"/>
      <c r="O655" s="18"/>
    </row>
    <row r="656" spans="1:15" ht="21.75" customHeight="1" x14ac:dyDescent="0.2">
      <c r="A656" s="9"/>
      <c r="B656" s="20"/>
      <c r="C656" s="8"/>
      <c r="D656" s="20"/>
      <c r="E656" s="20"/>
      <c r="F656" s="20"/>
      <c r="G656" s="9"/>
      <c r="H656" s="9"/>
      <c r="I656" s="9"/>
      <c r="J656" s="18"/>
      <c r="K656" s="9"/>
      <c r="L656" s="18"/>
      <c r="M656" s="18"/>
      <c r="N656" s="18"/>
      <c r="O656" s="18"/>
    </row>
    <row r="657" spans="1:15" ht="21.75" customHeight="1" x14ac:dyDescent="0.2">
      <c r="A657" s="9"/>
      <c r="B657" s="20"/>
      <c r="C657" s="8"/>
      <c r="D657" s="20"/>
      <c r="E657" s="20"/>
      <c r="F657" s="20"/>
      <c r="G657" s="9"/>
      <c r="H657" s="9"/>
      <c r="I657" s="9"/>
      <c r="J657" s="18"/>
      <c r="K657" s="9"/>
      <c r="L657" s="18"/>
      <c r="M657" s="18"/>
      <c r="N657" s="18"/>
      <c r="O657" s="18"/>
    </row>
    <row r="658" spans="1:15" ht="21.75" customHeight="1" x14ac:dyDescent="0.2">
      <c r="A658" s="9"/>
      <c r="B658" s="20"/>
      <c r="C658" s="8"/>
      <c r="D658" s="20"/>
      <c r="E658" s="20"/>
      <c r="F658" s="20"/>
      <c r="G658" s="9"/>
      <c r="H658" s="9"/>
      <c r="I658" s="9"/>
      <c r="J658" s="18"/>
      <c r="K658" s="9"/>
      <c r="L658" s="18"/>
      <c r="M658" s="18"/>
      <c r="N658" s="18"/>
      <c r="O658" s="18"/>
    </row>
    <row r="659" spans="1:15" ht="21.75" customHeight="1" x14ac:dyDescent="0.2">
      <c r="A659" s="9"/>
      <c r="B659" s="20"/>
      <c r="C659" s="8"/>
      <c r="D659" s="20"/>
      <c r="E659" s="20"/>
      <c r="F659" s="20"/>
      <c r="G659" s="9"/>
      <c r="H659" s="9"/>
      <c r="I659" s="9"/>
      <c r="J659" s="18"/>
      <c r="K659" s="9"/>
      <c r="L659" s="18"/>
      <c r="M659" s="18"/>
      <c r="N659" s="18"/>
      <c r="O659" s="18"/>
    </row>
    <row r="660" spans="1:15" ht="21.75" customHeight="1" x14ac:dyDescent="0.2">
      <c r="A660" s="9"/>
      <c r="B660" s="20"/>
      <c r="C660" s="8"/>
      <c r="D660" s="20"/>
      <c r="E660" s="20"/>
      <c r="F660" s="20"/>
      <c r="G660" s="9"/>
      <c r="H660" s="9"/>
      <c r="I660" s="9"/>
      <c r="J660" s="18"/>
      <c r="K660" s="9"/>
      <c r="L660" s="18"/>
      <c r="M660" s="18"/>
      <c r="N660" s="18"/>
      <c r="O660" s="18"/>
    </row>
    <row r="661" spans="1:15" ht="21.75" customHeight="1" x14ac:dyDescent="0.2">
      <c r="A661" s="9"/>
      <c r="B661" s="20"/>
      <c r="C661" s="8"/>
      <c r="D661" s="20"/>
      <c r="E661" s="20"/>
      <c r="F661" s="20"/>
      <c r="G661" s="9"/>
      <c r="H661" s="9"/>
      <c r="I661" s="9"/>
      <c r="J661" s="18"/>
      <c r="K661" s="9"/>
      <c r="L661" s="18"/>
      <c r="M661" s="18"/>
      <c r="N661" s="18"/>
      <c r="O661" s="18"/>
    </row>
    <row r="662" spans="1:15" ht="21.75" customHeight="1" x14ac:dyDescent="0.2">
      <c r="A662" s="9"/>
      <c r="B662" s="20"/>
      <c r="C662" s="8"/>
      <c r="D662" s="20"/>
      <c r="E662" s="20"/>
      <c r="F662" s="20"/>
      <c r="G662" s="9"/>
      <c r="H662" s="9"/>
      <c r="I662" s="9"/>
      <c r="J662" s="18"/>
      <c r="K662" s="9"/>
      <c r="L662" s="18"/>
      <c r="M662" s="18"/>
      <c r="N662" s="18"/>
      <c r="O662" s="18"/>
    </row>
    <row r="663" spans="1:15" ht="21.75" customHeight="1" x14ac:dyDescent="0.2">
      <c r="A663" s="9"/>
      <c r="B663" s="20"/>
      <c r="C663" s="8"/>
      <c r="D663" s="20"/>
      <c r="E663" s="20"/>
      <c r="F663" s="20"/>
      <c r="G663" s="9"/>
      <c r="H663" s="9"/>
      <c r="I663" s="9"/>
      <c r="J663" s="18"/>
      <c r="K663" s="9"/>
      <c r="L663" s="18"/>
      <c r="M663" s="18"/>
      <c r="N663" s="18"/>
      <c r="O663" s="18"/>
    </row>
    <row r="664" spans="1:15" ht="21.75" customHeight="1" x14ac:dyDescent="0.2">
      <c r="A664" s="9"/>
      <c r="B664" s="12"/>
      <c r="C664" s="10"/>
      <c r="D664" s="12"/>
      <c r="E664" s="12"/>
      <c r="F664" s="12"/>
      <c r="G664" s="11"/>
      <c r="H664" s="11"/>
      <c r="I664" s="11"/>
      <c r="J664" s="19"/>
      <c r="K664" s="11"/>
      <c r="L664" s="19"/>
      <c r="M664" s="19"/>
      <c r="N664" s="19"/>
      <c r="O664" s="19"/>
    </row>
    <row r="665" spans="1:15" ht="21.75" customHeight="1" x14ac:dyDescent="0.2">
      <c r="A665" s="9"/>
      <c r="B665" s="12"/>
      <c r="C665" s="10"/>
      <c r="D665" s="12"/>
      <c r="E665" s="12"/>
      <c r="F665" s="12"/>
      <c r="G665" s="11"/>
      <c r="H665" s="11"/>
      <c r="I665" s="11"/>
      <c r="J665" s="19"/>
      <c r="K665" s="11"/>
      <c r="L665" s="19"/>
      <c r="M665" s="19"/>
      <c r="N665" s="19"/>
      <c r="O665" s="19"/>
    </row>
    <row r="666" spans="1:15" ht="21.75" customHeight="1" x14ac:dyDescent="0.2">
      <c r="A666" s="11"/>
      <c r="B666" s="20"/>
      <c r="C666" s="8"/>
      <c r="D666" s="20"/>
      <c r="E666" s="20"/>
      <c r="F666" s="20"/>
      <c r="G666" s="9"/>
      <c r="H666" s="9"/>
      <c r="I666" s="9"/>
      <c r="J666" s="18"/>
      <c r="K666" s="9"/>
      <c r="L666" s="18"/>
      <c r="M666" s="18"/>
      <c r="N666" s="18"/>
      <c r="O666" s="18"/>
    </row>
    <row r="667" spans="1:15" ht="21.75" customHeight="1" x14ac:dyDescent="0.2">
      <c r="A667" s="11"/>
      <c r="B667" s="20"/>
      <c r="C667" s="8"/>
      <c r="D667" s="20"/>
      <c r="E667" s="20"/>
      <c r="F667" s="20"/>
      <c r="G667" s="9"/>
      <c r="H667" s="9"/>
      <c r="I667" s="9"/>
      <c r="J667" s="18"/>
      <c r="K667" s="9"/>
      <c r="L667" s="18"/>
      <c r="M667" s="18"/>
      <c r="N667" s="18"/>
      <c r="O667" s="18"/>
    </row>
    <row r="668" spans="1:15" ht="21.75" customHeight="1" x14ac:dyDescent="0.2">
      <c r="A668" s="9"/>
      <c r="B668" s="20"/>
      <c r="C668" s="8"/>
      <c r="D668" s="20"/>
      <c r="E668" s="20"/>
      <c r="F668" s="20"/>
      <c r="G668" s="9"/>
      <c r="H668" s="9"/>
      <c r="I668" s="9"/>
      <c r="J668" s="18"/>
      <c r="K668" s="9"/>
      <c r="L668" s="18"/>
      <c r="M668" s="18"/>
      <c r="N668" s="18"/>
      <c r="O668" s="18"/>
    </row>
    <row r="669" spans="1:15" ht="21.75" customHeight="1" x14ac:dyDescent="0.2">
      <c r="A669" s="9"/>
      <c r="B669" s="20"/>
      <c r="C669" s="8"/>
      <c r="D669" s="20"/>
      <c r="E669" s="20"/>
      <c r="F669" s="20"/>
      <c r="G669" s="9"/>
      <c r="H669" s="9"/>
      <c r="I669" s="9"/>
      <c r="J669" s="18"/>
      <c r="K669" s="9"/>
      <c r="L669" s="18"/>
      <c r="M669" s="18"/>
      <c r="N669" s="18"/>
      <c r="O669" s="18"/>
    </row>
    <row r="670" spans="1:15" ht="14.25" x14ac:dyDescent="0.2">
      <c r="A670" s="9"/>
      <c r="B670" s="20"/>
      <c r="C670" s="8"/>
      <c r="D670" s="20"/>
      <c r="E670" s="20"/>
      <c r="F670" s="20"/>
      <c r="G670" s="9"/>
      <c r="H670" s="9"/>
      <c r="I670" s="9"/>
      <c r="J670" s="18"/>
      <c r="K670" s="9"/>
      <c r="L670" s="18"/>
      <c r="M670" s="18"/>
      <c r="N670" s="18"/>
      <c r="O670" s="18"/>
    </row>
    <row r="671" spans="1:15" ht="14.25" x14ac:dyDescent="0.2">
      <c r="A671" s="9"/>
      <c r="B671" s="20"/>
      <c r="C671" s="8"/>
      <c r="D671" s="20"/>
      <c r="E671" s="20"/>
      <c r="F671" s="20"/>
      <c r="G671" s="9"/>
      <c r="H671" s="9"/>
      <c r="I671" s="9"/>
      <c r="J671" s="18"/>
      <c r="K671" s="9"/>
      <c r="L671" s="18"/>
      <c r="M671" s="18"/>
      <c r="N671" s="18"/>
      <c r="O671" s="18"/>
    </row>
    <row r="672" spans="1:15" ht="14.25" x14ac:dyDescent="0.2">
      <c r="A672" s="9"/>
      <c r="B672" s="20"/>
      <c r="C672" s="8"/>
      <c r="D672" s="20"/>
      <c r="E672" s="20"/>
      <c r="F672" s="20"/>
      <c r="G672" s="9"/>
      <c r="H672" s="9"/>
      <c r="I672" s="9"/>
      <c r="J672" s="18"/>
      <c r="K672" s="9"/>
      <c r="L672" s="18"/>
      <c r="M672" s="18"/>
      <c r="N672" s="18"/>
      <c r="O672" s="18"/>
    </row>
    <row r="673" spans="1:15" ht="14.25" x14ac:dyDescent="0.2">
      <c r="A673" s="9"/>
      <c r="B673" s="20"/>
      <c r="C673" s="8"/>
      <c r="D673" s="20"/>
      <c r="E673" s="20"/>
      <c r="F673" s="20"/>
      <c r="G673" s="9"/>
      <c r="H673" s="9"/>
      <c r="I673" s="9"/>
      <c r="J673" s="18"/>
      <c r="K673" s="9"/>
      <c r="L673" s="18"/>
      <c r="M673" s="18"/>
      <c r="N673" s="18"/>
      <c r="O673" s="18"/>
    </row>
    <row r="674" spans="1:15" ht="14.25" x14ac:dyDescent="0.2">
      <c r="A674" s="9"/>
      <c r="B674" s="20"/>
      <c r="C674" s="8"/>
      <c r="D674" s="20"/>
      <c r="E674" s="20"/>
      <c r="F674" s="20"/>
      <c r="G674" s="9"/>
      <c r="H674" s="9"/>
      <c r="I674" s="9"/>
      <c r="J674" s="18"/>
      <c r="K674" s="9"/>
      <c r="L674" s="18"/>
      <c r="M674" s="18"/>
      <c r="N674" s="18"/>
      <c r="O674" s="18"/>
    </row>
    <row r="675" spans="1:15" ht="14.25" x14ac:dyDescent="0.2">
      <c r="A675" s="9"/>
      <c r="B675" s="20"/>
      <c r="C675" s="8"/>
      <c r="D675" s="20"/>
      <c r="E675" s="20"/>
      <c r="F675" s="20"/>
      <c r="G675" s="9"/>
      <c r="H675" s="9"/>
      <c r="I675" s="9"/>
      <c r="J675" s="18"/>
      <c r="K675" s="9"/>
      <c r="L675" s="18"/>
      <c r="M675" s="18"/>
      <c r="N675" s="18"/>
      <c r="O675" s="18"/>
    </row>
    <row r="676" spans="1:15" ht="36" customHeight="1" x14ac:dyDescent="0.2">
      <c r="A676" s="9"/>
      <c r="B676" s="20"/>
      <c r="C676" s="8"/>
      <c r="D676" s="20"/>
      <c r="E676" s="20"/>
      <c r="F676" s="20"/>
      <c r="G676" s="9"/>
      <c r="H676" s="9"/>
      <c r="I676" s="9"/>
      <c r="J676" s="18"/>
      <c r="K676" s="9"/>
      <c r="L676" s="18"/>
      <c r="M676" s="18"/>
      <c r="N676" s="18"/>
      <c r="O676" s="18"/>
    </row>
    <row r="677" spans="1:15" ht="36" customHeight="1" x14ac:dyDescent="0.2">
      <c r="A677" s="9"/>
      <c r="B677" s="20"/>
      <c r="C677" s="8"/>
      <c r="D677" s="20"/>
      <c r="E677" s="20"/>
      <c r="F677" s="20"/>
      <c r="G677" s="9"/>
      <c r="H677" s="9"/>
      <c r="I677" s="9"/>
      <c r="J677" s="18"/>
      <c r="K677" s="9"/>
      <c r="L677" s="18"/>
      <c r="M677" s="18"/>
      <c r="N677" s="18"/>
      <c r="O677" s="18"/>
    </row>
    <row r="678" spans="1:15" ht="14.25" x14ac:dyDescent="0.2">
      <c r="A678" s="9"/>
      <c r="B678" s="12"/>
      <c r="C678" s="10"/>
      <c r="D678" s="12"/>
      <c r="E678" s="12"/>
      <c r="F678" s="12"/>
      <c r="G678" s="11"/>
      <c r="H678" s="11"/>
      <c r="I678" s="11"/>
      <c r="J678" s="19"/>
      <c r="K678" s="11"/>
      <c r="L678" s="19"/>
      <c r="M678" s="19"/>
      <c r="N678" s="19"/>
      <c r="O678" s="19"/>
    </row>
    <row r="679" spans="1:15" ht="36" customHeight="1" x14ac:dyDescent="0.2">
      <c r="A679" s="9"/>
      <c r="B679" s="12"/>
      <c r="C679" s="10"/>
      <c r="D679" s="12"/>
      <c r="E679" s="12"/>
      <c r="F679" s="12"/>
      <c r="G679" s="11"/>
      <c r="H679" s="11"/>
      <c r="I679" s="11"/>
      <c r="J679" s="19"/>
      <c r="K679" s="11"/>
      <c r="L679" s="19"/>
      <c r="M679" s="19"/>
      <c r="N679" s="19"/>
      <c r="O679" s="19"/>
    </row>
    <row r="680" spans="1:15" ht="36" customHeight="1" x14ac:dyDescent="0.2">
      <c r="A680" s="11"/>
      <c r="B680" s="12"/>
      <c r="C680" s="10"/>
      <c r="D680" s="12"/>
      <c r="E680" s="12"/>
      <c r="F680" s="12"/>
      <c r="G680" s="11"/>
      <c r="H680" s="11"/>
      <c r="I680" s="11"/>
      <c r="J680" s="19"/>
      <c r="K680" s="11"/>
      <c r="L680" s="19"/>
      <c r="M680" s="19"/>
      <c r="N680" s="19"/>
      <c r="O680" s="19"/>
    </row>
    <row r="681" spans="1:15" ht="36" customHeight="1" x14ac:dyDescent="0.2">
      <c r="A681" s="11"/>
      <c r="B681" s="12"/>
      <c r="C681" s="10"/>
      <c r="D681" s="12"/>
      <c r="E681" s="12"/>
      <c r="F681" s="12"/>
      <c r="G681" s="11"/>
      <c r="H681" s="11"/>
      <c r="I681" s="11"/>
      <c r="J681" s="19"/>
      <c r="K681" s="11"/>
      <c r="L681" s="19"/>
      <c r="M681" s="19"/>
      <c r="N681" s="19"/>
      <c r="O681" s="19"/>
    </row>
    <row r="682" spans="1:15" ht="36" customHeight="1" x14ac:dyDescent="0.2">
      <c r="A682" s="11"/>
      <c r="B682" s="12"/>
      <c r="C682" s="10"/>
      <c r="D682" s="12"/>
      <c r="E682" s="12"/>
      <c r="F682" s="12"/>
      <c r="G682" s="11"/>
      <c r="H682" s="11"/>
      <c r="I682" s="11"/>
      <c r="J682" s="19"/>
      <c r="K682" s="11"/>
      <c r="L682" s="19"/>
      <c r="M682" s="19"/>
      <c r="N682" s="19"/>
      <c r="O682" s="19"/>
    </row>
    <row r="683" spans="1:15" ht="14.25" x14ac:dyDescent="0.2">
      <c r="A683" s="11"/>
      <c r="B683" s="12"/>
      <c r="C683" s="10"/>
      <c r="D683" s="12"/>
      <c r="E683" s="12"/>
      <c r="F683" s="12"/>
      <c r="G683" s="11"/>
      <c r="H683" s="11"/>
      <c r="I683" s="11"/>
      <c r="J683" s="19"/>
      <c r="K683" s="11"/>
      <c r="L683" s="19"/>
      <c r="M683" s="19"/>
      <c r="N683" s="19"/>
      <c r="O683" s="19"/>
    </row>
    <row r="684" spans="1:15" ht="14.25" x14ac:dyDescent="0.2">
      <c r="A684" s="11"/>
      <c r="B684" s="12"/>
      <c r="C684" s="10"/>
      <c r="D684" s="12"/>
      <c r="E684" s="12"/>
      <c r="F684" s="12"/>
      <c r="G684" s="11"/>
      <c r="H684" s="11"/>
      <c r="I684" s="11"/>
      <c r="J684" s="19"/>
      <c r="K684" s="11"/>
      <c r="L684" s="19"/>
      <c r="M684" s="19"/>
      <c r="N684" s="19"/>
      <c r="O684" s="19"/>
    </row>
    <row r="685" spans="1:15" ht="14.25" x14ac:dyDescent="0.2">
      <c r="A685" s="11"/>
      <c r="B685" s="12"/>
      <c r="C685" s="10"/>
      <c r="D685" s="12"/>
      <c r="E685" s="12"/>
      <c r="F685" s="12"/>
      <c r="G685" s="11"/>
      <c r="H685" s="11"/>
      <c r="I685" s="11"/>
      <c r="J685" s="19"/>
      <c r="K685" s="11"/>
      <c r="L685" s="19"/>
      <c r="M685" s="19"/>
      <c r="N685" s="19"/>
      <c r="O685" s="19"/>
    </row>
    <row r="686" spans="1:15" ht="14.25" x14ac:dyDescent="0.2">
      <c r="A686" s="11"/>
      <c r="B686" s="12"/>
      <c r="C686" s="10"/>
      <c r="D686" s="12"/>
      <c r="E686" s="12"/>
      <c r="F686" s="12"/>
      <c r="G686" s="11"/>
      <c r="H686" s="11"/>
      <c r="I686" s="11"/>
      <c r="J686" s="19"/>
      <c r="K686" s="11"/>
      <c r="L686" s="19"/>
      <c r="M686" s="19"/>
      <c r="N686" s="19"/>
      <c r="O686" s="19"/>
    </row>
    <row r="687" spans="1:15" ht="14.25" x14ac:dyDescent="0.2">
      <c r="A687" s="11"/>
      <c r="B687" s="12"/>
      <c r="C687" s="10"/>
      <c r="D687" s="12"/>
      <c r="E687" s="12"/>
      <c r="F687" s="12"/>
      <c r="G687" s="11"/>
      <c r="H687" s="11"/>
      <c r="I687" s="11"/>
      <c r="J687" s="19"/>
      <c r="K687" s="11"/>
      <c r="L687" s="19"/>
      <c r="M687" s="19"/>
      <c r="N687" s="19"/>
      <c r="O687" s="19"/>
    </row>
    <row r="688" spans="1:15" ht="14.25" x14ac:dyDescent="0.2">
      <c r="A688" s="11"/>
      <c r="B688" s="12"/>
      <c r="C688" s="10"/>
      <c r="D688" s="12"/>
      <c r="E688" s="12"/>
      <c r="F688" s="12"/>
      <c r="G688" s="11"/>
      <c r="H688" s="11"/>
      <c r="I688" s="11"/>
      <c r="J688" s="19"/>
      <c r="K688" s="11"/>
      <c r="L688" s="19"/>
      <c r="M688" s="19"/>
      <c r="N688" s="19"/>
      <c r="O688" s="19"/>
    </row>
    <row r="689" spans="1:15" ht="14.25" x14ac:dyDescent="0.2">
      <c r="A689" s="11"/>
      <c r="B689" s="12"/>
      <c r="C689" s="10"/>
      <c r="D689" s="12"/>
      <c r="E689" s="12"/>
      <c r="F689" s="12"/>
      <c r="G689" s="11"/>
      <c r="H689" s="11"/>
      <c r="I689" s="11"/>
      <c r="J689" s="19"/>
      <c r="K689" s="11"/>
      <c r="L689" s="19"/>
      <c r="M689" s="19"/>
      <c r="N689" s="19"/>
      <c r="O689" s="19"/>
    </row>
    <row r="690" spans="1:15" ht="36" customHeight="1" x14ac:dyDescent="0.2">
      <c r="A690" s="11"/>
      <c r="B690" s="12"/>
      <c r="C690" s="10"/>
      <c r="D690" s="12"/>
      <c r="E690" s="12"/>
      <c r="F690" s="12"/>
      <c r="G690" s="11"/>
      <c r="H690" s="11"/>
      <c r="I690" s="11"/>
      <c r="J690" s="19"/>
      <c r="K690" s="11"/>
      <c r="L690" s="19"/>
      <c r="M690" s="19"/>
      <c r="N690" s="19"/>
      <c r="O690" s="19"/>
    </row>
    <row r="691" spans="1:15" ht="36" customHeight="1" x14ac:dyDescent="0.2">
      <c r="A691" s="21"/>
      <c r="B691" s="22"/>
      <c r="C691" s="23"/>
      <c r="D691" s="22"/>
      <c r="E691" s="22"/>
      <c r="F691" s="22"/>
      <c r="G691" s="21"/>
      <c r="H691" s="21"/>
      <c r="I691" s="21"/>
      <c r="J691" s="24"/>
      <c r="K691" s="21"/>
      <c r="L691" s="24"/>
      <c r="M691" s="24"/>
      <c r="N691" s="24"/>
      <c r="O691" s="24"/>
    </row>
    <row r="692" spans="1:15" ht="36" customHeight="1" x14ac:dyDescent="0.2">
      <c r="A692" s="6"/>
    </row>
    <row r="693" spans="1:15" ht="36" customHeight="1" x14ac:dyDescent="0.2">
      <c r="A693" s="6"/>
    </row>
    <row r="694" spans="1:15" ht="36" customHeight="1" x14ac:dyDescent="0.2"/>
    <row r="695" spans="1:15" ht="36" customHeight="1" x14ac:dyDescent="0.2"/>
    <row r="696" spans="1:15" ht="36" customHeight="1" x14ac:dyDescent="0.2"/>
    <row r="697" spans="1:15" ht="36" customHeight="1" x14ac:dyDescent="0.2"/>
    <row r="698" spans="1:15" ht="36" customHeight="1" x14ac:dyDescent="0.2"/>
    <row r="699" spans="1:15" ht="36" customHeight="1" x14ac:dyDescent="0.2"/>
    <row r="700" spans="1:15" ht="36" customHeight="1" x14ac:dyDescent="0.2"/>
    <row r="701" spans="1:15" ht="36" customHeight="1" x14ac:dyDescent="0.2"/>
    <row r="702" spans="1:15" ht="36" customHeight="1" x14ac:dyDescent="0.2"/>
    <row r="703" spans="1:15" ht="36" customHeight="1" x14ac:dyDescent="0.2"/>
  </sheetData>
  <sortState xmlns:xlrd2="http://schemas.microsoft.com/office/spreadsheetml/2017/richdata2" ref="A10:O602">
    <sortCondition ref="B10:B602"/>
  </sortState>
  <mergeCells count="110">
    <mergeCell ref="A279:O279"/>
    <mergeCell ref="A274:B274"/>
    <mergeCell ref="A265:N265"/>
    <mergeCell ref="A264:B264"/>
    <mergeCell ref="A350:B350"/>
    <mergeCell ref="A359:O359"/>
    <mergeCell ref="A291:B291"/>
    <mergeCell ref="A284:O284"/>
    <mergeCell ref="A321:O321"/>
    <mergeCell ref="A330:B330"/>
    <mergeCell ref="A336:B336"/>
    <mergeCell ref="A288:N288"/>
    <mergeCell ref="A295:N295"/>
    <mergeCell ref="A340:O340"/>
    <mergeCell ref="A320:B320"/>
    <mergeCell ref="A312:N312"/>
    <mergeCell ref="A331:O331"/>
    <mergeCell ref="A337:O337"/>
    <mergeCell ref="A339:B339"/>
    <mergeCell ref="A268:B268"/>
    <mergeCell ref="A269:O269"/>
    <mergeCell ref="A292:N292"/>
    <mergeCell ref="A294:B294"/>
    <mergeCell ref="A627:B627"/>
    <mergeCell ref="A351:O351"/>
    <mergeCell ref="A358:B358"/>
    <mergeCell ref="A376:O376"/>
    <mergeCell ref="A598:B598"/>
    <mergeCell ref="A603:O603"/>
    <mergeCell ref="A407:O407"/>
    <mergeCell ref="A531:O531"/>
    <mergeCell ref="A533:B533"/>
    <mergeCell ref="A429:B429"/>
    <mergeCell ref="A430:O430"/>
    <mergeCell ref="A501:B501"/>
    <mergeCell ref="A379:O379"/>
    <mergeCell ref="A386:B386"/>
    <mergeCell ref="A387:O387"/>
    <mergeCell ref="A406:B406"/>
    <mergeCell ref="A534:O534"/>
    <mergeCell ref="A536:B536"/>
    <mergeCell ref="A367:B367"/>
    <mergeCell ref="B4:N4"/>
    <mergeCell ref="B5:N5"/>
    <mergeCell ref="B6:N6"/>
    <mergeCell ref="B7:N7"/>
    <mergeCell ref="A14:B14"/>
    <mergeCell ref="A10:O10"/>
    <mergeCell ref="G634:H634"/>
    <mergeCell ref="A368:O368"/>
    <mergeCell ref="A375:B375"/>
    <mergeCell ref="A378:B378"/>
    <mergeCell ref="A537:O537"/>
    <mergeCell ref="A616:O616"/>
    <mergeCell ref="A599:O599"/>
    <mergeCell ref="A602:B602"/>
    <mergeCell ref="A615:B615"/>
    <mergeCell ref="G630:H630"/>
    <mergeCell ref="C628:F628"/>
    <mergeCell ref="A628:B628"/>
    <mergeCell ref="A502:O502"/>
    <mergeCell ref="A530:B530"/>
    <mergeCell ref="A426:B426"/>
    <mergeCell ref="A427:O427"/>
    <mergeCell ref="A231:B231"/>
    <mergeCell ref="A311:B311"/>
    <mergeCell ref="A252:N252"/>
    <mergeCell ref="A256:B256"/>
    <mergeCell ref="A287:B287"/>
    <mergeCell ref="A257:N257"/>
    <mergeCell ref="A181:B181"/>
    <mergeCell ref="A22:O22"/>
    <mergeCell ref="A18:O18"/>
    <mergeCell ref="A47:N47"/>
    <mergeCell ref="A29:B29"/>
    <mergeCell ref="A21:B21"/>
    <mergeCell ref="A37:B37"/>
    <mergeCell ref="A42:B42"/>
    <mergeCell ref="A30:O30"/>
    <mergeCell ref="A38:O38"/>
    <mergeCell ref="A57:N57"/>
    <mergeCell ref="A65:B65"/>
    <mergeCell ref="A56:B56"/>
    <mergeCell ref="A66:N66"/>
    <mergeCell ref="A70:B70"/>
    <mergeCell ref="A157:N157"/>
    <mergeCell ref="A167:B167"/>
    <mergeCell ref="A283:B283"/>
    <mergeCell ref="A278:B278"/>
    <mergeCell ref="A275:O275"/>
    <mergeCell ref="A15:O15"/>
    <mergeCell ref="A17:B17"/>
    <mergeCell ref="A71:N71"/>
    <mergeCell ref="A156:B156"/>
    <mergeCell ref="A251:B251"/>
    <mergeCell ref="A219:N219"/>
    <mergeCell ref="A168:N168"/>
    <mergeCell ref="A178:B178"/>
    <mergeCell ref="A182:N182"/>
    <mergeCell ref="A214:B214"/>
    <mergeCell ref="A215:N215"/>
    <mergeCell ref="A218:B218"/>
    <mergeCell ref="A238:O238"/>
    <mergeCell ref="A235:N235"/>
    <mergeCell ref="A237:B237"/>
    <mergeCell ref="A179:N179"/>
    <mergeCell ref="A43:O43"/>
    <mergeCell ref="A46:B46"/>
    <mergeCell ref="A232:N232"/>
    <mergeCell ref="A234:B234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63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82"/>
  <sheetViews>
    <sheetView showGridLines="0" zoomScale="80" zoomScaleNormal="80" zoomScaleSheetLayoutView="70" workbookViewId="0">
      <selection activeCell="T266" sqref="T266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4"/>
      <c r="B4" s="2"/>
      <c r="C4" s="2"/>
      <c r="D4" s="2"/>
      <c r="E4" s="2"/>
      <c r="F4" s="2"/>
      <c r="G4" s="2"/>
      <c r="H4" s="2"/>
      <c r="I4" s="2"/>
      <c r="J4" s="2"/>
      <c r="K4" s="2"/>
      <c r="L4" s="94"/>
      <c r="M4" s="94"/>
      <c r="N4" s="94"/>
      <c r="O4" s="2"/>
      <c r="P4" s="2"/>
      <c r="Q4" s="2"/>
    </row>
    <row r="5" spans="1:17" x14ac:dyDescent="0.2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7" x14ac:dyDescent="0.2">
      <c r="A6" s="286" t="s">
        <v>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</row>
    <row r="7" spans="1:17" x14ac:dyDescent="0.2">
      <c r="A7" s="286" t="s">
        <v>1002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8" spans="1:17" ht="9" customHeight="1" x14ac:dyDescent="0.2">
      <c r="A8" s="94"/>
      <c r="B8" s="95"/>
      <c r="C8" s="95"/>
      <c r="D8" s="95"/>
      <c r="E8" s="95"/>
      <c r="F8" s="95"/>
      <c r="G8" s="95"/>
      <c r="H8" s="95"/>
      <c r="I8" s="95"/>
      <c r="J8" s="2"/>
      <c r="K8" s="95"/>
      <c r="L8" s="94"/>
      <c r="M8" s="96"/>
      <c r="N8" s="96"/>
      <c r="O8" s="2"/>
      <c r="P8" s="2"/>
      <c r="Q8" s="2"/>
    </row>
    <row r="9" spans="1:17" x14ac:dyDescent="0.2">
      <c r="A9" s="160"/>
      <c r="B9" s="290" t="s">
        <v>666</v>
      </c>
      <c r="C9" s="290"/>
      <c r="D9" s="290"/>
      <c r="E9" s="290"/>
      <c r="F9" s="290"/>
      <c r="G9" s="290"/>
      <c r="H9" s="290"/>
      <c r="I9" s="290"/>
      <c r="J9" s="290"/>
      <c r="K9" s="291"/>
      <c r="L9" s="292"/>
      <c r="M9" s="293"/>
      <c r="N9" s="290"/>
      <c r="O9" s="2"/>
    </row>
    <row r="10" spans="1:17" x14ac:dyDescent="0.2">
      <c r="A10" s="94"/>
      <c r="B10" s="2"/>
      <c r="C10" s="2"/>
      <c r="D10" s="2"/>
      <c r="E10" s="2"/>
      <c r="F10" s="2"/>
      <c r="G10" s="2"/>
      <c r="H10" s="2"/>
      <c r="I10" s="2"/>
      <c r="J10" s="2"/>
      <c r="K10" s="2"/>
      <c r="L10" s="94"/>
      <c r="M10" s="94"/>
      <c r="N10" s="94"/>
      <c r="O10" s="2"/>
      <c r="P10" s="2"/>
      <c r="Q10" s="2"/>
    </row>
    <row r="11" spans="1:17" x14ac:dyDescent="0.2">
      <c r="A11" s="94"/>
      <c r="B11" s="2"/>
      <c r="C11" s="2"/>
      <c r="D11" s="2"/>
      <c r="E11" s="2"/>
      <c r="F11" s="2"/>
      <c r="G11" s="2"/>
      <c r="H11" s="2"/>
      <c r="I11" s="2"/>
      <c r="J11" s="2"/>
      <c r="K11" s="2"/>
      <c r="L11" s="94"/>
      <c r="M11" s="94"/>
      <c r="N11" s="94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6" t="s">
        <v>8</v>
      </c>
      <c r="B13" s="87" t="s">
        <v>5</v>
      </c>
      <c r="C13" s="87" t="s">
        <v>17</v>
      </c>
      <c r="D13" s="87" t="s">
        <v>6</v>
      </c>
      <c r="E13" s="87" t="s">
        <v>7</v>
      </c>
      <c r="F13" s="87" t="s">
        <v>18</v>
      </c>
      <c r="G13" s="87" t="s">
        <v>348</v>
      </c>
      <c r="H13" s="87" t="s">
        <v>14</v>
      </c>
      <c r="I13" s="87" t="s">
        <v>12</v>
      </c>
      <c r="J13" s="87" t="s">
        <v>319</v>
      </c>
      <c r="K13" s="87" t="s">
        <v>320</v>
      </c>
      <c r="L13" s="87" t="s">
        <v>0</v>
      </c>
      <c r="M13" s="87" t="s">
        <v>1</v>
      </c>
      <c r="N13" s="87" t="s">
        <v>2</v>
      </c>
      <c r="O13" s="87" t="s">
        <v>321</v>
      </c>
      <c r="P13" s="87" t="s">
        <v>322</v>
      </c>
      <c r="Q13" s="97" t="s">
        <v>10</v>
      </c>
    </row>
    <row r="14" spans="1:17" s="7" customFormat="1" ht="36.75" customHeight="1" x14ac:dyDescent="0.2">
      <c r="A14" s="303" t="s">
        <v>700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6"/>
    </row>
    <row r="15" spans="1:17" ht="38.25" customHeight="1" x14ac:dyDescent="0.2">
      <c r="A15" s="106">
        <v>1</v>
      </c>
      <c r="B15" s="99" t="s">
        <v>554</v>
      </c>
      <c r="C15" s="99" t="s">
        <v>412</v>
      </c>
      <c r="D15" s="99" t="s">
        <v>701</v>
      </c>
      <c r="E15" s="100" t="s">
        <v>283</v>
      </c>
      <c r="F15" s="100" t="s">
        <v>19</v>
      </c>
      <c r="G15" s="101">
        <v>45748</v>
      </c>
      <c r="H15" s="101">
        <v>45931</v>
      </c>
      <c r="I15" s="103">
        <v>105000</v>
      </c>
      <c r="J15" s="103">
        <v>0</v>
      </c>
      <c r="K15" s="103">
        <f>SUM(I15:J15)</f>
        <v>105000</v>
      </c>
      <c r="L15" s="103">
        <f>IF(I15&gt;=Datos!$D$14,(Datos!$D$14*Datos!$C$14),IF(I15&lt;=Datos!$D$14,(I15*Datos!$C$14)))</f>
        <v>3013.5</v>
      </c>
      <c r="M15" s="104">
        <v>12852.63</v>
      </c>
      <c r="N15" s="103">
        <f>IF(I15&gt;=Datos!$D$15,(Datos!$D$15*Datos!$C$15),IF(I15&lt;=Datos!$D$15,(I15*Datos!$C$15)))</f>
        <v>3192</v>
      </c>
      <c r="O15" s="103">
        <v>6740.46</v>
      </c>
      <c r="P15" s="103">
        <f>SUM(L15:O15)</f>
        <v>25798.589999999997</v>
      </c>
      <c r="Q15" s="105">
        <f>+K15-P15</f>
        <v>79201.41</v>
      </c>
    </row>
    <row r="16" spans="1:17" s="85" customFormat="1" ht="36.75" customHeight="1" x14ac:dyDescent="0.2">
      <c r="A16" s="303" t="s">
        <v>455</v>
      </c>
      <c r="B16" s="305"/>
      <c r="C16" s="116">
        <v>1</v>
      </c>
      <c r="D16" s="116"/>
      <c r="E16" s="190"/>
      <c r="F16" s="117"/>
      <c r="G16" s="118"/>
      <c r="H16" s="119"/>
      <c r="I16" s="120">
        <f>SUM(I15)</f>
        <v>105000</v>
      </c>
      <c r="J16" s="120">
        <f t="shared" ref="J16:Q16" si="0">SUM(J15)</f>
        <v>0</v>
      </c>
      <c r="K16" s="120">
        <f t="shared" si="0"/>
        <v>105000</v>
      </c>
      <c r="L16" s="120">
        <f t="shared" si="0"/>
        <v>3013.5</v>
      </c>
      <c r="M16" s="120">
        <f t="shared" si="0"/>
        <v>12852.63</v>
      </c>
      <c r="N16" s="120">
        <f t="shared" si="0"/>
        <v>3192</v>
      </c>
      <c r="O16" s="120">
        <f t="shared" si="0"/>
        <v>6740.46</v>
      </c>
      <c r="P16" s="120">
        <f t="shared" si="0"/>
        <v>25798.589999999997</v>
      </c>
      <c r="Q16" s="120">
        <f t="shared" si="0"/>
        <v>79201.41</v>
      </c>
    </row>
    <row r="17" spans="1:17" s="7" customFormat="1" ht="36.75" customHeight="1" x14ac:dyDescent="0.2">
      <c r="A17" s="303" t="s">
        <v>491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6"/>
    </row>
    <row r="18" spans="1:17" s="7" customFormat="1" ht="38.25" customHeight="1" x14ac:dyDescent="0.2">
      <c r="A18" s="106">
        <v>2</v>
      </c>
      <c r="B18" s="114" t="s">
        <v>695</v>
      </c>
      <c r="C18" s="114" t="s">
        <v>412</v>
      </c>
      <c r="D18" s="114" t="s">
        <v>696</v>
      </c>
      <c r="E18" s="115" t="s">
        <v>283</v>
      </c>
      <c r="F18" s="115" t="s">
        <v>19</v>
      </c>
      <c r="G18" s="124">
        <v>45778</v>
      </c>
      <c r="H18" s="125">
        <v>45962</v>
      </c>
      <c r="I18" s="111">
        <v>65000</v>
      </c>
      <c r="J18" s="111">
        <v>0</v>
      </c>
      <c r="K18" s="111">
        <f>SUM(I18:J18)</f>
        <v>65000</v>
      </c>
      <c r="L18" s="111">
        <f>IF(I18&gt;=Datos!$D$14,(Datos!$D$14*Datos!$C$14),IF(I18&lt;=Datos!$D$14,(I18*Datos!$C$14)))</f>
        <v>1865.5</v>
      </c>
      <c r="M18" s="112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1">
        <f>IF(I18&gt;=Datos!$D$15,(Datos!$D$15*Datos!$C$15),IF(I18&lt;=Datos!$D$15,(I18*Datos!$C$15)))</f>
        <v>1976</v>
      </c>
      <c r="O18" s="111">
        <v>10225</v>
      </c>
      <c r="P18" s="111">
        <f>SUM(L18:O18)</f>
        <v>18494.075666666664</v>
      </c>
      <c r="Q18" s="113">
        <f>+K18-P18</f>
        <v>46505.924333333336</v>
      </c>
    </row>
    <row r="19" spans="1:17" s="7" customFormat="1" ht="38.25" customHeight="1" x14ac:dyDescent="0.2">
      <c r="A19" s="106">
        <v>3</v>
      </c>
      <c r="B19" s="114" t="s">
        <v>1007</v>
      </c>
      <c r="C19" s="114" t="s">
        <v>412</v>
      </c>
      <c r="D19" s="114" t="s">
        <v>696</v>
      </c>
      <c r="E19" s="115" t="s">
        <v>283</v>
      </c>
      <c r="F19" s="115" t="s">
        <v>19</v>
      </c>
      <c r="G19" s="124">
        <v>45839</v>
      </c>
      <c r="H19" s="125">
        <v>46023</v>
      </c>
      <c r="I19" s="111">
        <v>70000</v>
      </c>
      <c r="J19" s="111">
        <v>0</v>
      </c>
      <c r="K19" s="111">
        <f>SUM(I19:J19)</f>
        <v>70000</v>
      </c>
      <c r="L19" s="111">
        <f>IF(I19&gt;=Datos!$D$14,(Datos!$D$14*Datos!$C$14),IF(I19&lt;=Datos!$D$14,(I19*Datos!$C$14)))</f>
        <v>2009</v>
      </c>
      <c r="M19" s="112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5368.4756666666663</v>
      </c>
      <c r="N19" s="111">
        <f>IF(I19&gt;=Datos!$D$15,(Datos!$D$15*Datos!$C$15),IF(I19&lt;=Datos!$D$15,(I19*Datos!$C$15)))</f>
        <v>2128</v>
      </c>
      <c r="O19" s="111">
        <v>25</v>
      </c>
      <c r="P19" s="111">
        <f>SUM(L19:O19)</f>
        <v>9530.4756666666653</v>
      </c>
      <c r="Q19" s="113">
        <f>+K19-P19</f>
        <v>60469.524333333335</v>
      </c>
    </row>
    <row r="20" spans="1:17" s="7" customFormat="1" ht="38.25" customHeight="1" x14ac:dyDescent="0.2">
      <c r="A20" s="106">
        <v>4</v>
      </c>
      <c r="B20" s="114" t="s">
        <v>263</v>
      </c>
      <c r="C20" s="114" t="s">
        <v>412</v>
      </c>
      <c r="D20" s="114" t="s">
        <v>516</v>
      </c>
      <c r="E20" s="115" t="s">
        <v>283</v>
      </c>
      <c r="F20" s="115" t="s">
        <v>281</v>
      </c>
      <c r="G20" s="124">
        <v>45748</v>
      </c>
      <c r="H20" s="125">
        <v>45931</v>
      </c>
      <c r="I20" s="111">
        <v>140000</v>
      </c>
      <c r="J20" s="111">
        <v>0</v>
      </c>
      <c r="K20" s="111">
        <f>SUM(I20:J20)</f>
        <v>140000</v>
      </c>
      <c r="L20" s="111">
        <f>IF(I20&gt;=Datos!$D$14,(Datos!$D$14*Datos!$C$14),IF(I20&lt;=Datos!$D$14,(I20*Datos!$C$14)))</f>
        <v>4018</v>
      </c>
      <c r="M20" s="112">
        <f>IF((I20-L20-N20)&lt;=Datos!$G$7,"0",IF((I20-L20-N20)&lt;=Datos!$G$8,((I20-L20-N20)-Datos!$F$8)*Datos!$I$6,IF((I20-L20-N20)&lt;=Datos!$G$9,Datos!$I$8+((I20-L20-N20)-Datos!$F$9)*Datos!$J$6,IF((I20-L20-N20)&gt;=Datos!$F$10,(Datos!$I$8+Datos!$J$8)+((I20-L20-N20)-Datos!$F$10)*Datos!$K$6))))</f>
        <v>21514.360666666667</v>
      </c>
      <c r="N20" s="111">
        <f>IF(I20&gt;=Datos!$D$15,(Datos!$D$15*Datos!$C$15),IF(I20&lt;=Datos!$D$15,(I20*Datos!$C$15)))</f>
        <v>4256</v>
      </c>
      <c r="O20" s="111">
        <v>15891.79</v>
      </c>
      <c r="P20" s="111">
        <f>SUM(L20:O20)</f>
        <v>45680.150666666668</v>
      </c>
      <c r="Q20" s="113">
        <f>+K20-P20</f>
        <v>94319.849333333332</v>
      </c>
    </row>
    <row r="21" spans="1:17" s="85" customFormat="1" ht="36.75" customHeight="1" x14ac:dyDescent="0.2">
      <c r="A21" s="303" t="s">
        <v>455</v>
      </c>
      <c r="B21" s="305"/>
      <c r="C21" s="116">
        <v>2</v>
      </c>
      <c r="D21" s="116"/>
      <c r="E21" s="190"/>
      <c r="F21" s="117"/>
      <c r="G21" s="118"/>
      <c r="H21" s="119"/>
      <c r="I21" s="120">
        <f>SUM(I18:I20)</f>
        <v>275000</v>
      </c>
      <c r="J21" s="120">
        <f t="shared" ref="J21:Q21" si="1">SUM(J18:J20)</f>
        <v>0</v>
      </c>
      <c r="K21" s="120">
        <f t="shared" si="1"/>
        <v>275000</v>
      </c>
      <c r="L21" s="120">
        <f t="shared" si="1"/>
        <v>7892.5</v>
      </c>
      <c r="M21" s="120">
        <f t="shared" si="1"/>
        <v>31310.412</v>
      </c>
      <c r="N21" s="120">
        <f t="shared" si="1"/>
        <v>8360</v>
      </c>
      <c r="O21" s="120">
        <f t="shared" si="1"/>
        <v>26141.79</v>
      </c>
      <c r="P21" s="120">
        <f t="shared" si="1"/>
        <v>73704.70199999999</v>
      </c>
      <c r="Q21" s="120">
        <f t="shared" si="1"/>
        <v>201295.29800000001</v>
      </c>
    </row>
    <row r="22" spans="1:17" s="7" customFormat="1" ht="36.75" customHeight="1" x14ac:dyDescent="0.2">
      <c r="A22" s="303" t="s">
        <v>492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6"/>
    </row>
    <row r="23" spans="1:17" ht="38.25" customHeight="1" x14ac:dyDescent="0.2">
      <c r="A23" s="106">
        <v>5</v>
      </c>
      <c r="B23" s="99" t="s">
        <v>445</v>
      </c>
      <c r="C23" s="99" t="s">
        <v>412</v>
      </c>
      <c r="D23" s="99" t="s">
        <v>477</v>
      </c>
      <c r="E23" s="100" t="s">
        <v>283</v>
      </c>
      <c r="F23" s="100" t="s">
        <v>19</v>
      </c>
      <c r="G23" s="101">
        <v>45717</v>
      </c>
      <c r="H23" s="101">
        <v>45901</v>
      </c>
      <c r="I23" s="103">
        <v>115000</v>
      </c>
      <c r="J23" s="103">
        <v>0</v>
      </c>
      <c r="K23" s="103">
        <f>SUM(I23:J23)</f>
        <v>115000</v>
      </c>
      <c r="L23" s="103">
        <f>IF(I23&gt;=Datos!$D$14,(Datos!$D$14*Datos!$C$14),IF(I23&lt;=Datos!$D$14,(I23*Datos!$C$14)))</f>
        <v>3300.5</v>
      </c>
      <c r="M23" s="104">
        <v>15204.88</v>
      </c>
      <c r="N23" s="103">
        <f>IF(I23&gt;=Datos!$D$15,(Datos!$D$15*Datos!$C$15),IF(I23&lt;=Datos!$D$15,(I23*Datos!$C$15)))</f>
        <v>3496</v>
      </c>
      <c r="O23" s="103">
        <v>7740.46</v>
      </c>
      <c r="P23" s="103">
        <f>SUM(L23:O23)</f>
        <v>29741.839999999997</v>
      </c>
      <c r="Q23" s="105">
        <f>+K23-P23</f>
        <v>85258.16</v>
      </c>
    </row>
    <row r="24" spans="1:17" s="85" customFormat="1" ht="36.75" customHeight="1" x14ac:dyDescent="0.2">
      <c r="A24" s="303" t="s">
        <v>455</v>
      </c>
      <c r="B24" s="305"/>
      <c r="C24" s="116">
        <v>1</v>
      </c>
      <c r="D24" s="116"/>
      <c r="E24" s="190"/>
      <c r="F24" s="117"/>
      <c r="G24" s="118"/>
      <c r="H24" s="119"/>
      <c r="I24" s="120">
        <f>SUM(I23)</f>
        <v>115000</v>
      </c>
      <c r="J24" s="120">
        <f t="shared" ref="J24:Q24" si="2">SUM(J23)</f>
        <v>0</v>
      </c>
      <c r="K24" s="120">
        <f t="shared" si="2"/>
        <v>115000</v>
      </c>
      <c r="L24" s="120">
        <f t="shared" si="2"/>
        <v>3300.5</v>
      </c>
      <c r="M24" s="120">
        <f t="shared" si="2"/>
        <v>15204.88</v>
      </c>
      <c r="N24" s="120">
        <f t="shared" si="2"/>
        <v>3496</v>
      </c>
      <c r="O24" s="120">
        <f t="shared" si="2"/>
        <v>7740.46</v>
      </c>
      <c r="P24" s="120">
        <f t="shared" si="2"/>
        <v>29741.839999999997</v>
      </c>
      <c r="Q24" s="120">
        <f t="shared" si="2"/>
        <v>85258.16</v>
      </c>
    </row>
    <row r="25" spans="1:17" s="7" customFormat="1" ht="36.75" customHeight="1" x14ac:dyDescent="0.2">
      <c r="A25" s="303" t="s">
        <v>786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6"/>
    </row>
    <row r="26" spans="1:17" ht="38.25" customHeight="1" x14ac:dyDescent="0.2">
      <c r="A26" s="106">
        <v>6</v>
      </c>
      <c r="B26" s="99" t="s">
        <v>653</v>
      </c>
      <c r="C26" s="99" t="s">
        <v>412</v>
      </c>
      <c r="D26" s="99" t="s">
        <v>787</v>
      </c>
      <c r="E26" s="100" t="s">
        <v>283</v>
      </c>
      <c r="F26" s="100" t="s">
        <v>19</v>
      </c>
      <c r="G26" s="101">
        <v>45689</v>
      </c>
      <c r="H26" s="101">
        <v>45870</v>
      </c>
      <c r="I26" s="103">
        <v>105000</v>
      </c>
      <c r="J26" s="103">
        <v>0</v>
      </c>
      <c r="K26" s="103">
        <f>SUM(I26:J26)</f>
        <v>105000</v>
      </c>
      <c r="L26" s="103">
        <f>IF(I26&gt;=Datos!$D$14,(Datos!$D$14*Datos!$C$14),IF(I26&lt;=Datos!$D$14,(I26*Datos!$C$14)))</f>
        <v>3013.5</v>
      </c>
      <c r="M26" s="104">
        <v>12852.63</v>
      </c>
      <c r="N26" s="103">
        <f>IF(I26&gt;=Datos!$D$15,(Datos!$D$15*Datos!$C$15),IF(I26&lt;=Datos!$D$15,(I26*Datos!$C$15)))</f>
        <v>3192</v>
      </c>
      <c r="O26" s="103">
        <v>5840.46</v>
      </c>
      <c r="P26" s="103">
        <f>SUM(L26:O26)</f>
        <v>24898.589999999997</v>
      </c>
      <c r="Q26" s="105">
        <f>+K26-P26</f>
        <v>80101.41</v>
      </c>
    </row>
    <row r="27" spans="1:17" s="85" customFormat="1" ht="36.75" customHeight="1" x14ac:dyDescent="0.2">
      <c r="A27" s="303" t="s">
        <v>455</v>
      </c>
      <c r="B27" s="305"/>
      <c r="C27" s="116">
        <v>1</v>
      </c>
      <c r="D27" s="116"/>
      <c r="E27" s="190"/>
      <c r="F27" s="117"/>
      <c r="G27" s="118"/>
      <c r="H27" s="119"/>
      <c r="I27" s="120">
        <f>SUM(I26)</f>
        <v>105000</v>
      </c>
      <c r="J27" s="120">
        <f t="shared" ref="J27:Q27" si="3">SUM(J26)</f>
        <v>0</v>
      </c>
      <c r="K27" s="120">
        <f t="shared" si="3"/>
        <v>105000</v>
      </c>
      <c r="L27" s="120">
        <f t="shared" si="3"/>
        <v>3013.5</v>
      </c>
      <c r="M27" s="120">
        <f t="shared" si="3"/>
        <v>12852.63</v>
      </c>
      <c r="N27" s="120">
        <f t="shared" si="3"/>
        <v>3192</v>
      </c>
      <c r="O27" s="120">
        <f t="shared" si="3"/>
        <v>5840.46</v>
      </c>
      <c r="P27" s="120">
        <f t="shared" si="3"/>
        <v>24898.589999999997</v>
      </c>
      <c r="Q27" s="120">
        <f t="shared" si="3"/>
        <v>80101.41</v>
      </c>
    </row>
    <row r="28" spans="1:17" s="7" customFormat="1" ht="36.75" customHeight="1" x14ac:dyDescent="0.2">
      <c r="A28" s="303" t="s">
        <v>472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6"/>
    </row>
    <row r="29" spans="1:17" s="7" customFormat="1" ht="38.25" customHeight="1" x14ac:dyDescent="0.2">
      <c r="A29" s="106">
        <v>7</v>
      </c>
      <c r="B29" s="129" t="s">
        <v>282</v>
      </c>
      <c r="C29" s="114" t="s">
        <v>412</v>
      </c>
      <c r="D29" s="114" t="s">
        <v>15</v>
      </c>
      <c r="E29" s="115" t="s">
        <v>283</v>
      </c>
      <c r="F29" s="115" t="s">
        <v>281</v>
      </c>
      <c r="G29" s="124">
        <v>45809</v>
      </c>
      <c r="H29" s="125">
        <v>45992</v>
      </c>
      <c r="I29" s="110">
        <v>65000</v>
      </c>
      <c r="J29" s="110">
        <v>0</v>
      </c>
      <c r="K29" s="110">
        <f t="shared" ref="K29" si="4">SUM(I29:J29)</f>
        <v>65000</v>
      </c>
      <c r="L29" s="110">
        <f>IF(I29&gt;=Datos!$D$14,(Datos!$D$14*Datos!$C$14),IF(I29&lt;=Datos!$D$14,(I29*Datos!$C$14)))</f>
        <v>1865.5</v>
      </c>
      <c r="M29" s="130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4427.5756666666657</v>
      </c>
      <c r="N29" s="110">
        <f>IF(I29&gt;=Datos!$D$15,(Datos!$D$15*Datos!$C$15),IF(I29&lt;=Datos!$D$15,(I29*Datos!$C$15)))</f>
        <v>1976</v>
      </c>
      <c r="O29" s="110">
        <v>25</v>
      </c>
      <c r="P29" s="111">
        <f t="shared" ref="P29:P30" si="5">SUM(L29:O29)</f>
        <v>8294.0756666666657</v>
      </c>
      <c r="Q29" s="113">
        <f>+K29-P29</f>
        <v>56705.924333333336</v>
      </c>
    </row>
    <row r="30" spans="1:17" s="7" customFormat="1" ht="38.25" customHeight="1" x14ac:dyDescent="0.2">
      <c r="A30" s="106">
        <v>8</v>
      </c>
      <c r="B30" s="129" t="s">
        <v>524</v>
      </c>
      <c r="C30" s="114" t="s">
        <v>412</v>
      </c>
      <c r="D30" s="114" t="s">
        <v>15</v>
      </c>
      <c r="E30" s="115" t="s">
        <v>283</v>
      </c>
      <c r="F30" s="115" t="s">
        <v>281</v>
      </c>
      <c r="G30" s="124">
        <v>45778</v>
      </c>
      <c r="H30" s="125">
        <v>45962</v>
      </c>
      <c r="I30" s="110">
        <v>60000</v>
      </c>
      <c r="J30" s="110">
        <v>0</v>
      </c>
      <c r="K30" s="110">
        <f t="shared" ref="K30" si="6">SUM(I30:J30)</f>
        <v>60000</v>
      </c>
      <c r="L30" s="110">
        <f>IF(I30&gt;=Datos!$D$14,(Datos!$D$14*Datos!$C$14),IF(I30&lt;=Datos!$D$14,(I30*Datos!$C$14)))</f>
        <v>1722</v>
      </c>
      <c r="M30" s="130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3486.6756666666661</v>
      </c>
      <c r="N30" s="110">
        <f>IF(I30&gt;=Datos!$D$15,(Datos!$D$15*Datos!$C$15),IF(I30&lt;=Datos!$D$15,(I30*Datos!$C$15)))</f>
        <v>1824</v>
      </c>
      <c r="O30" s="110">
        <v>25</v>
      </c>
      <c r="P30" s="111">
        <f t="shared" si="5"/>
        <v>7057.6756666666661</v>
      </c>
      <c r="Q30" s="113">
        <f>+K30-P30</f>
        <v>52942.324333333338</v>
      </c>
    </row>
    <row r="31" spans="1:17" s="85" customFormat="1" ht="36.75" customHeight="1" x14ac:dyDescent="0.2">
      <c r="A31" s="303" t="s">
        <v>455</v>
      </c>
      <c r="B31" s="305"/>
      <c r="C31" s="116">
        <v>2</v>
      </c>
      <c r="D31" s="116"/>
      <c r="E31" s="190"/>
      <c r="F31" s="117"/>
      <c r="G31" s="118"/>
      <c r="H31" s="119"/>
      <c r="I31" s="120">
        <f t="shared" ref="I31:Q31" si="7">SUM(I29:I30)</f>
        <v>125000</v>
      </c>
      <c r="J31" s="120">
        <f t="shared" si="7"/>
        <v>0</v>
      </c>
      <c r="K31" s="120">
        <f t="shared" si="7"/>
        <v>125000</v>
      </c>
      <c r="L31" s="120">
        <f t="shared" si="7"/>
        <v>3587.5</v>
      </c>
      <c r="M31" s="120">
        <f t="shared" si="7"/>
        <v>7914.2513333333318</v>
      </c>
      <c r="N31" s="120">
        <f t="shared" si="7"/>
        <v>3800</v>
      </c>
      <c r="O31" s="120">
        <f t="shared" si="7"/>
        <v>50</v>
      </c>
      <c r="P31" s="120">
        <f t="shared" si="7"/>
        <v>15351.751333333332</v>
      </c>
      <c r="Q31" s="120">
        <f t="shared" si="7"/>
        <v>109648.24866666668</v>
      </c>
    </row>
    <row r="32" spans="1:17" s="7" customFormat="1" ht="36.75" customHeight="1" x14ac:dyDescent="0.2">
      <c r="A32" s="303" t="s">
        <v>652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6"/>
    </row>
    <row r="33" spans="1:17" s="7" customFormat="1" ht="38.25" customHeight="1" x14ac:dyDescent="0.2">
      <c r="A33" s="106">
        <v>9</v>
      </c>
      <c r="B33" s="122" t="s">
        <v>847</v>
      </c>
      <c r="C33" s="122" t="s">
        <v>412</v>
      </c>
      <c r="D33" s="122" t="s">
        <v>848</v>
      </c>
      <c r="E33" s="108" t="s">
        <v>283</v>
      </c>
      <c r="F33" s="108" t="s">
        <v>281</v>
      </c>
      <c r="G33" s="109">
        <v>45748</v>
      </c>
      <c r="H33" s="123">
        <v>45931</v>
      </c>
      <c r="I33" s="111">
        <v>120000</v>
      </c>
      <c r="J33" s="111">
        <v>0</v>
      </c>
      <c r="K33" s="111">
        <f>SUM(I33:J33)</f>
        <v>120000</v>
      </c>
      <c r="L33" s="111">
        <f>IF(I33&gt;=Datos!$D$14,(Datos!$D$14*Datos!$C$14),IF(I33&lt;=Datos!$D$14,(I33*Datos!$C$14)))</f>
        <v>3444</v>
      </c>
      <c r="M33" s="112">
        <v>16381</v>
      </c>
      <c r="N33" s="111">
        <f>IF(I33&gt;=Datos!$D$15,(Datos!$D$15*Datos!$C$15),IF(I33&lt;=Datos!$D$15,(I33*Datos!$C$15)))</f>
        <v>3648</v>
      </c>
      <c r="O33" s="111">
        <v>6740.46</v>
      </c>
      <c r="P33" s="111">
        <f t="shared" ref="P33" si="8">SUM(L33:O33)</f>
        <v>30213.46</v>
      </c>
      <c r="Q33" s="113">
        <f>+K33-P33</f>
        <v>89786.540000000008</v>
      </c>
    </row>
    <row r="34" spans="1:17" s="85" customFormat="1" ht="36.75" customHeight="1" x14ac:dyDescent="0.2">
      <c r="A34" s="303" t="s">
        <v>455</v>
      </c>
      <c r="B34" s="305"/>
      <c r="C34" s="116">
        <v>1</v>
      </c>
      <c r="D34" s="116"/>
      <c r="E34" s="190"/>
      <c r="F34" s="117"/>
      <c r="G34" s="118"/>
      <c r="H34" s="119"/>
      <c r="I34" s="120">
        <f>SUM(I33)</f>
        <v>120000</v>
      </c>
      <c r="J34" s="120">
        <f t="shared" ref="J34:Q34" si="9">SUM(J33)</f>
        <v>0</v>
      </c>
      <c r="K34" s="120">
        <f t="shared" si="9"/>
        <v>120000</v>
      </c>
      <c r="L34" s="120">
        <f t="shared" si="9"/>
        <v>3444</v>
      </c>
      <c r="M34" s="120">
        <f t="shared" si="9"/>
        <v>16381</v>
      </c>
      <c r="N34" s="120">
        <f t="shared" si="9"/>
        <v>3648</v>
      </c>
      <c r="O34" s="120">
        <f t="shared" si="9"/>
        <v>6740.46</v>
      </c>
      <c r="P34" s="120">
        <f t="shared" si="9"/>
        <v>30213.46</v>
      </c>
      <c r="Q34" s="120">
        <f t="shared" si="9"/>
        <v>89786.540000000008</v>
      </c>
    </row>
    <row r="35" spans="1:17" s="7" customFormat="1" ht="36.75" customHeight="1" x14ac:dyDescent="0.2">
      <c r="A35" s="303" t="s">
        <v>473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6"/>
    </row>
    <row r="36" spans="1:17" s="7" customFormat="1" ht="38.25" customHeight="1" x14ac:dyDescent="0.2">
      <c r="A36" s="106">
        <v>10</v>
      </c>
      <c r="B36" s="122" t="s">
        <v>417</v>
      </c>
      <c r="C36" s="122" t="s">
        <v>412</v>
      </c>
      <c r="D36" s="122" t="s">
        <v>268</v>
      </c>
      <c r="E36" s="108" t="s">
        <v>283</v>
      </c>
      <c r="F36" s="108" t="s">
        <v>19</v>
      </c>
      <c r="G36" s="109">
        <v>45748</v>
      </c>
      <c r="H36" s="123">
        <v>45931</v>
      </c>
      <c r="I36" s="111">
        <v>120000</v>
      </c>
      <c r="J36" s="111">
        <v>0</v>
      </c>
      <c r="K36" s="111">
        <f>SUM(I36:J36)</f>
        <v>120000</v>
      </c>
      <c r="L36" s="111">
        <f>IF(I36&gt;=Datos!$D$14,(Datos!$D$14*Datos!$C$14),IF(I36&lt;=Datos!$D$14,(I36*Datos!$C$14)))</f>
        <v>3444</v>
      </c>
      <c r="M36" s="112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1">
        <f>IF(I36&gt;=Datos!$D$15,(Datos!$D$15*Datos!$C$15),IF(I36&lt;=Datos!$D$15,(I36*Datos!$C$15)))</f>
        <v>3648</v>
      </c>
      <c r="O36" s="111">
        <v>25</v>
      </c>
      <c r="P36" s="111">
        <f t="shared" ref="P36" si="10">SUM(L36:O36)</f>
        <v>23926.860666666667</v>
      </c>
      <c r="Q36" s="113">
        <f>+K36-P36</f>
        <v>96073.139333333325</v>
      </c>
    </row>
    <row r="37" spans="1:17" s="85" customFormat="1" ht="36.75" customHeight="1" x14ac:dyDescent="0.2">
      <c r="A37" s="303" t="s">
        <v>455</v>
      </c>
      <c r="B37" s="305"/>
      <c r="C37" s="116">
        <v>1</v>
      </c>
      <c r="D37" s="116"/>
      <c r="E37" s="190"/>
      <c r="F37" s="117"/>
      <c r="G37" s="118"/>
      <c r="H37" s="119"/>
      <c r="I37" s="120">
        <f>SUM(I36)</f>
        <v>120000</v>
      </c>
      <c r="J37" s="120">
        <f t="shared" ref="J37:Q37" si="11">SUM(J36)</f>
        <v>0</v>
      </c>
      <c r="K37" s="120">
        <f t="shared" si="11"/>
        <v>120000</v>
      </c>
      <c r="L37" s="120">
        <f t="shared" si="11"/>
        <v>3444</v>
      </c>
      <c r="M37" s="120">
        <f t="shared" si="11"/>
        <v>16809.860666666667</v>
      </c>
      <c r="N37" s="120">
        <f t="shared" si="11"/>
        <v>3648</v>
      </c>
      <c r="O37" s="120">
        <f t="shared" si="11"/>
        <v>25</v>
      </c>
      <c r="P37" s="120">
        <f t="shared" si="11"/>
        <v>23926.860666666667</v>
      </c>
      <c r="Q37" s="120">
        <f t="shared" si="11"/>
        <v>96073.139333333325</v>
      </c>
    </row>
    <row r="38" spans="1:17" s="7" customFormat="1" ht="36.75" customHeight="1" x14ac:dyDescent="0.2">
      <c r="A38" s="303" t="s">
        <v>712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6"/>
    </row>
    <row r="39" spans="1:17" s="7" customFormat="1" ht="38.25" customHeight="1" x14ac:dyDescent="0.2">
      <c r="A39" s="106">
        <v>11</v>
      </c>
      <c r="B39" s="122" t="s">
        <v>711</v>
      </c>
      <c r="C39" s="122" t="s">
        <v>412</v>
      </c>
      <c r="D39" s="122" t="s">
        <v>713</v>
      </c>
      <c r="E39" s="108" t="s">
        <v>283</v>
      </c>
      <c r="F39" s="108" t="s">
        <v>281</v>
      </c>
      <c r="G39" s="109">
        <v>45809</v>
      </c>
      <c r="H39" s="123">
        <v>45992</v>
      </c>
      <c r="I39" s="111">
        <v>45000</v>
      </c>
      <c r="J39" s="111">
        <v>0</v>
      </c>
      <c r="K39" s="111">
        <f>SUM(I39:J39)</f>
        <v>45000</v>
      </c>
      <c r="L39" s="111">
        <f>IF(I39&gt;=Datos!$D$14,(Datos!$D$14*Datos!$C$14),IF(I39&lt;=Datos!$D$14,(I39*Datos!$C$14)))</f>
        <v>1291.5</v>
      </c>
      <c r="M39" s="112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1148.3234999999997</v>
      </c>
      <c r="N39" s="111">
        <f>IF(I39&gt;=Datos!$D$15,(Datos!$D$15*Datos!$C$15),IF(I39&lt;=Datos!$D$15,(I39*Datos!$C$15)))</f>
        <v>1368</v>
      </c>
      <c r="O39" s="111">
        <v>25</v>
      </c>
      <c r="P39" s="111">
        <f t="shared" ref="P39:P40" si="12">SUM(L39:O39)</f>
        <v>3832.8234999999995</v>
      </c>
      <c r="Q39" s="113">
        <f>+K39-P39</f>
        <v>41167.176500000001</v>
      </c>
    </row>
    <row r="40" spans="1:17" s="7" customFormat="1" ht="38.25" customHeight="1" x14ac:dyDescent="0.2">
      <c r="A40" s="106">
        <v>12</v>
      </c>
      <c r="B40" s="129" t="s">
        <v>560</v>
      </c>
      <c r="C40" s="114" t="s">
        <v>412</v>
      </c>
      <c r="D40" s="114" t="s">
        <v>1008</v>
      </c>
      <c r="E40" s="115" t="s">
        <v>283</v>
      </c>
      <c r="F40" s="115" t="s">
        <v>19</v>
      </c>
      <c r="G40" s="124">
        <v>45778</v>
      </c>
      <c r="H40" s="125">
        <v>45962</v>
      </c>
      <c r="I40" s="110">
        <v>120000</v>
      </c>
      <c r="J40" s="110">
        <v>0</v>
      </c>
      <c r="K40" s="110">
        <f t="shared" ref="K40" si="13">SUM(I40:J40)</f>
        <v>120000</v>
      </c>
      <c r="L40" s="110">
        <f>IF(I40&gt;=Datos!$D$14,(Datos!$D$14*Datos!$C$14),IF(I40&lt;=Datos!$D$14,(I40*Datos!$C$14)))</f>
        <v>3444</v>
      </c>
      <c r="M40" s="130">
        <v>16381</v>
      </c>
      <c r="N40" s="110">
        <f>IF(I40&gt;=Datos!$D$15,(Datos!$D$15*Datos!$C$15),IF(I40&lt;=Datos!$D$15,(I40*Datos!$C$15)))</f>
        <v>3648</v>
      </c>
      <c r="O40" s="110">
        <v>1740.46</v>
      </c>
      <c r="P40" s="111">
        <f t="shared" si="12"/>
        <v>25213.46</v>
      </c>
      <c r="Q40" s="113">
        <f>+K40-P40</f>
        <v>94786.540000000008</v>
      </c>
    </row>
    <row r="41" spans="1:17" s="85" customFormat="1" ht="36.75" customHeight="1" x14ac:dyDescent="0.2">
      <c r="A41" s="303" t="s">
        <v>455</v>
      </c>
      <c r="B41" s="305"/>
      <c r="C41" s="116">
        <v>2</v>
      </c>
      <c r="D41" s="116"/>
      <c r="E41" s="190"/>
      <c r="F41" s="117"/>
      <c r="G41" s="118"/>
      <c r="H41" s="119"/>
      <c r="I41" s="120">
        <f>SUM(I39:I40)</f>
        <v>165000</v>
      </c>
      <c r="J41" s="120">
        <f t="shared" ref="J41:Q41" si="14">SUM(J39:J40)</f>
        <v>0</v>
      </c>
      <c r="K41" s="120">
        <f t="shared" si="14"/>
        <v>165000</v>
      </c>
      <c r="L41" s="120">
        <f t="shared" si="14"/>
        <v>4735.5</v>
      </c>
      <c r="M41" s="120">
        <f t="shared" si="14"/>
        <v>17529.323499999999</v>
      </c>
      <c r="N41" s="120">
        <f t="shared" si="14"/>
        <v>5016</v>
      </c>
      <c r="O41" s="120">
        <f t="shared" si="14"/>
        <v>1765.46</v>
      </c>
      <c r="P41" s="120">
        <f t="shared" si="14"/>
        <v>29046.283499999998</v>
      </c>
      <c r="Q41" s="120">
        <f t="shared" si="14"/>
        <v>135953.71650000001</v>
      </c>
    </row>
    <row r="42" spans="1:17" s="7" customFormat="1" ht="36.75" customHeight="1" x14ac:dyDescent="0.2">
      <c r="A42" s="303" t="s">
        <v>489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6"/>
    </row>
    <row r="43" spans="1:17" s="7" customFormat="1" ht="38.25" customHeight="1" x14ac:dyDescent="0.2">
      <c r="A43" s="106">
        <v>13</v>
      </c>
      <c r="B43" s="126" t="s">
        <v>631</v>
      </c>
      <c r="C43" s="122" t="s">
        <v>412</v>
      </c>
      <c r="D43" s="122" t="s">
        <v>425</v>
      </c>
      <c r="E43" s="108" t="s">
        <v>283</v>
      </c>
      <c r="F43" s="108" t="s">
        <v>19</v>
      </c>
      <c r="G43" s="109">
        <v>45717</v>
      </c>
      <c r="H43" s="123">
        <v>45901</v>
      </c>
      <c r="I43" s="111">
        <v>60000</v>
      </c>
      <c r="J43" s="111">
        <v>0</v>
      </c>
      <c r="K43" s="111">
        <f t="shared" ref="K43:K44" si="15">SUM(I43:J43)</f>
        <v>60000</v>
      </c>
      <c r="L43" s="111">
        <f>IF(I43&gt;=Datos!$D$14,(Datos!$D$14*Datos!$C$14),IF(I43&lt;=Datos!$D$14,(I43*Datos!$C$14)))</f>
        <v>1722</v>
      </c>
      <c r="M43" s="112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3486.6756666666661</v>
      </c>
      <c r="N43" s="111">
        <f>IF(I43&gt;=Datos!$D$15,(Datos!$D$15*Datos!$C$15),IF(I43&lt;=Datos!$D$15,(I43*Datos!$C$15)))</f>
        <v>1824</v>
      </c>
      <c r="O43" s="111">
        <v>25</v>
      </c>
      <c r="P43" s="111">
        <f t="shared" ref="P43" si="16">SUM(L43:O43)</f>
        <v>7057.6756666666661</v>
      </c>
      <c r="Q43" s="113">
        <f>+K43-P43</f>
        <v>52942.324333333338</v>
      </c>
    </row>
    <row r="44" spans="1:17" s="7" customFormat="1" ht="38.25" customHeight="1" x14ac:dyDescent="0.2">
      <c r="A44" s="106">
        <v>14</v>
      </c>
      <c r="B44" s="126" t="s">
        <v>416</v>
      </c>
      <c r="C44" s="127" t="s">
        <v>412</v>
      </c>
      <c r="D44" s="126" t="s">
        <v>424</v>
      </c>
      <c r="E44" s="108" t="s">
        <v>283</v>
      </c>
      <c r="F44" s="108" t="s">
        <v>19</v>
      </c>
      <c r="G44" s="123">
        <v>45778</v>
      </c>
      <c r="H44" s="109">
        <v>45962</v>
      </c>
      <c r="I44" s="128">
        <v>140000</v>
      </c>
      <c r="J44" s="111">
        <v>0</v>
      </c>
      <c r="K44" s="111">
        <f t="shared" si="15"/>
        <v>140000</v>
      </c>
      <c r="L44" s="111">
        <f>IF(I44&gt;=Datos!$D$14,(Datos!$D$14*Datos!$C$14),IF(I44&lt;=Datos!$D$14,(I44*Datos!$C$14)))</f>
        <v>4018</v>
      </c>
      <c r="M44" s="112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21514.360666666667</v>
      </c>
      <c r="N44" s="111">
        <f>IF(I44&gt;=Datos!$D$15,(Datos!$D$15*Datos!$C$15),IF(I44&lt;=Datos!$D$15,(I44*Datos!$C$15)))</f>
        <v>4256</v>
      </c>
      <c r="O44" s="111">
        <v>25</v>
      </c>
      <c r="P44" s="111">
        <f t="shared" ref="P44" si="17">SUM(L44:O44)</f>
        <v>29813.360666666667</v>
      </c>
      <c r="Q44" s="113">
        <f>+K44-P44</f>
        <v>110186.63933333333</v>
      </c>
    </row>
    <row r="45" spans="1:17" s="7" customFormat="1" ht="38.25" customHeight="1" x14ac:dyDescent="0.2">
      <c r="A45" s="106">
        <v>15</v>
      </c>
      <c r="B45" s="114" t="s">
        <v>262</v>
      </c>
      <c r="C45" s="114" t="s">
        <v>285</v>
      </c>
      <c r="D45" s="114" t="s">
        <v>425</v>
      </c>
      <c r="E45" s="115" t="s">
        <v>283</v>
      </c>
      <c r="F45" s="115" t="s">
        <v>19</v>
      </c>
      <c r="G45" s="124">
        <v>45748</v>
      </c>
      <c r="H45" s="125">
        <v>45931</v>
      </c>
      <c r="I45" s="111">
        <v>60000</v>
      </c>
      <c r="J45" s="111">
        <v>0</v>
      </c>
      <c r="K45" s="111">
        <f t="shared" ref="K45" si="18">SUM(I45:J45)</f>
        <v>60000</v>
      </c>
      <c r="L45" s="111">
        <f>IF(I45&gt;=Datos!$D$14,(Datos!$D$14*Datos!$C$14),IF(I45&lt;=Datos!$D$14,(I45*Datos!$C$14)))</f>
        <v>1722</v>
      </c>
      <c r="M45" s="112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3486.6756666666661</v>
      </c>
      <c r="N45" s="111">
        <f>IF(I45&gt;=Datos!$D$15,(Datos!$D$15*Datos!$C$15),IF(I45&lt;=Datos!$D$15,(I45*Datos!$C$15)))</f>
        <v>1824</v>
      </c>
      <c r="O45" s="111">
        <v>25</v>
      </c>
      <c r="P45" s="111">
        <f t="shared" ref="P45" si="19">SUM(L45:O45)</f>
        <v>7057.6756666666661</v>
      </c>
      <c r="Q45" s="113">
        <f>+K45-P45</f>
        <v>52942.324333333338</v>
      </c>
    </row>
    <row r="46" spans="1:17" s="85" customFormat="1" ht="36.75" customHeight="1" x14ac:dyDescent="0.2">
      <c r="A46" s="303" t="s">
        <v>455</v>
      </c>
      <c r="B46" s="305"/>
      <c r="C46" s="116">
        <v>3</v>
      </c>
      <c r="D46" s="116"/>
      <c r="E46" s="190"/>
      <c r="F46" s="117"/>
      <c r="G46" s="118"/>
      <c r="H46" s="119"/>
      <c r="I46" s="120">
        <f t="shared" ref="I46:Q46" si="20">SUM(I43:I45)</f>
        <v>260000</v>
      </c>
      <c r="J46" s="120">
        <f t="shared" si="20"/>
        <v>0</v>
      </c>
      <c r="K46" s="120">
        <f t="shared" si="20"/>
        <v>260000</v>
      </c>
      <c r="L46" s="120">
        <f t="shared" si="20"/>
        <v>7462</v>
      </c>
      <c r="M46" s="120">
        <f t="shared" si="20"/>
        <v>28487.712</v>
      </c>
      <c r="N46" s="120">
        <f t="shared" si="20"/>
        <v>7904</v>
      </c>
      <c r="O46" s="120">
        <f t="shared" si="20"/>
        <v>75</v>
      </c>
      <c r="P46" s="120">
        <f t="shared" si="20"/>
        <v>43928.712</v>
      </c>
      <c r="Q46" s="120">
        <f t="shared" si="20"/>
        <v>216071.288</v>
      </c>
    </row>
    <row r="47" spans="1:17" s="7" customFormat="1" ht="36.75" customHeight="1" x14ac:dyDescent="0.2">
      <c r="A47" s="303" t="s">
        <v>457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6"/>
    </row>
    <row r="48" spans="1:17" s="7" customFormat="1" ht="38.25" customHeight="1" x14ac:dyDescent="0.2">
      <c r="A48" s="106">
        <v>16</v>
      </c>
      <c r="B48" s="114" t="s">
        <v>633</v>
      </c>
      <c r="C48" s="114" t="s">
        <v>284</v>
      </c>
      <c r="D48" s="114" t="s">
        <v>3</v>
      </c>
      <c r="E48" s="115" t="s">
        <v>283</v>
      </c>
      <c r="F48" s="115" t="s">
        <v>19</v>
      </c>
      <c r="G48" s="124">
        <v>45717</v>
      </c>
      <c r="H48" s="125">
        <v>45901</v>
      </c>
      <c r="I48" s="111">
        <v>70000</v>
      </c>
      <c r="J48" s="111">
        <v>0</v>
      </c>
      <c r="K48" s="111">
        <f t="shared" ref="K48:K51" si="21">SUM(I48:J48)</f>
        <v>70000</v>
      </c>
      <c r="L48" s="111">
        <f>IF(I48&gt;=Datos!$D$14,(Datos!$D$14*Datos!$C$14),IF(I48&lt;=Datos!$D$14,(I48*Datos!$C$14)))</f>
        <v>2009</v>
      </c>
      <c r="M48" s="112">
        <v>5025.38</v>
      </c>
      <c r="N48" s="111">
        <f>IF(I48&gt;=Datos!$D$15,(Datos!$D$15*Datos!$C$15),IF(I48&lt;=Datos!$D$15,(I48*Datos!$C$15)))</f>
        <v>2128</v>
      </c>
      <c r="O48" s="111">
        <v>1740.46</v>
      </c>
      <c r="P48" s="111">
        <f t="shared" ref="P48:P51" si="22">SUM(L48:O48)</f>
        <v>10902.84</v>
      </c>
      <c r="Q48" s="113">
        <f t="shared" ref="Q48:Q51" si="23">+K48-P48</f>
        <v>59097.16</v>
      </c>
    </row>
    <row r="49" spans="1:17" s="7" customFormat="1" ht="38.25" customHeight="1" x14ac:dyDescent="0.2">
      <c r="A49" s="106">
        <v>17</v>
      </c>
      <c r="B49" s="114" t="s">
        <v>804</v>
      </c>
      <c r="C49" s="114" t="s">
        <v>412</v>
      </c>
      <c r="D49" s="114" t="s">
        <v>478</v>
      </c>
      <c r="E49" s="115" t="s">
        <v>283</v>
      </c>
      <c r="F49" s="115" t="s">
        <v>19</v>
      </c>
      <c r="G49" s="124">
        <v>45717</v>
      </c>
      <c r="H49" s="125">
        <v>45901</v>
      </c>
      <c r="I49" s="111">
        <v>45000</v>
      </c>
      <c r="J49" s="111">
        <v>0</v>
      </c>
      <c r="K49" s="111">
        <f t="shared" ref="K49" si="24">SUM(I49:J49)</f>
        <v>45000</v>
      </c>
      <c r="L49" s="111">
        <f>IF(I49&gt;=Datos!$D$14,(Datos!$D$14*Datos!$C$14),IF(I49&lt;=Datos!$D$14,(I49*Datos!$C$14)))</f>
        <v>1291.5</v>
      </c>
      <c r="M49" s="112">
        <v>891.01</v>
      </c>
      <c r="N49" s="111">
        <f>IF(I49&gt;=Datos!$D$15,(Datos!$D$15*Datos!$C$15),IF(I49&lt;=Datos!$D$15,(I49*Datos!$C$15)))</f>
        <v>1368</v>
      </c>
      <c r="O49" s="111">
        <v>7727.41</v>
      </c>
      <c r="P49" s="111">
        <f t="shared" ref="P49" si="25">SUM(L49:O49)</f>
        <v>11277.92</v>
      </c>
      <c r="Q49" s="113">
        <f t="shared" ref="Q49" si="26">+K49-P49</f>
        <v>33722.080000000002</v>
      </c>
    </row>
    <row r="50" spans="1:17" s="7" customFormat="1" ht="38.25" customHeight="1" x14ac:dyDescent="0.2">
      <c r="A50" s="106">
        <v>18</v>
      </c>
      <c r="B50" s="114" t="s">
        <v>849</v>
      </c>
      <c r="C50" s="114" t="s">
        <v>412</v>
      </c>
      <c r="D50" s="114" t="s">
        <v>3</v>
      </c>
      <c r="E50" s="115" t="s">
        <v>283</v>
      </c>
      <c r="F50" s="115" t="s">
        <v>281</v>
      </c>
      <c r="G50" s="124">
        <v>45748</v>
      </c>
      <c r="H50" s="125">
        <v>45931</v>
      </c>
      <c r="I50" s="111">
        <v>60000</v>
      </c>
      <c r="J50" s="111">
        <v>0</v>
      </c>
      <c r="K50" s="111">
        <f t="shared" ref="K50" si="27">SUM(I50:J50)</f>
        <v>60000</v>
      </c>
      <c r="L50" s="111">
        <f>IF(I50&gt;=Datos!$D$14,(Datos!$D$14*Datos!$C$14),IF(I50&lt;=Datos!$D$14,(I50*Datos!$C$14)))</f>
        <v>1722</v>
      </c>
      <c r="M50" s="112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3486.6756666666661</v>
      </c>
      <c r="N50" s="111">
        <f>IF(I50&gt;=Datos!$D$15,(Datos!$D$15*Datos!$C$15),IF(I50&lt;=Datos!$D$15,(I50*Datos!$C$15)))</f>
        <v>1824</v>
      </c>
      <c r="O50" s="111">
        <v>25</v>
      </c>
      <c r="P50" s="111">
        <f t="shared" ref="P50" si="28">SUM(L50:O50)</f>
        <v>7057.6756666666661</v>
      </c>
      <c r="Q50" s="113">
        <f t="shared" ref="Q50" si="29">+K50-P50</f>
        <v>52942.324333333338</v>
      </c>
    </row>
    <row r="51" spans="1:17" s="7" customFormat="1" ht="38.25" customHeight="1" x14ac:dyDescent="0.2">
      <c r="A51" s="106">
        <v>19</v>
      </c>
      <c r="B51" s="114" t="s">
        <v>260</v>
      </c>
      <c r="C51" s="114" t="s">
        <v>412</v>
      </c>
      <c r="D51" s="114" t="s">
        <v>421</v>
      </c>
      <c r="E51" s="115" t="s">
        <v>283</v>
      </c>
      <c r="F51" s="115" t="s">
        <v>19</v>
      </c>
      <c r="G51" s="124">
        <v>45717</v>
      </c>
      <c r="H51" s="125">
        <v>45901</v>
      </c>
      <c r="I51" s="111">
        <v>145000</v>
      </c>
      <c r="J51" s="111">
        <v>0</v>
      </c>
      <c r="K51" s="111">
        <f t="shared" si="21"/>
        <v>145000</v>
      </c>
      <c r="L51" s="111">
        <f>IF(I51&gt;=Datos!$D$14,(Datos!$D$14*Datos!$C$14),IF(I51&lt;=Datos!$D$14,(I51*Datos!$C$14)))</f>
        <v>4161.5</v>
      </c>
      <c r="M51" s="112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22690.485666666667</v>
      </c>
      <c r="N51" s="111">
        <f>IF(I51&gt;=Datos!$D$15,(Datos!$D$15*Datos!$C$15),IF(I51&lt;=Datos!$D$15,(I51*Datos!$C$15)))</f>
        <v>4408</v>
      </c>
      <c r="O51" s="111">
        <v>25</v>
      </c>
      <c r="P51" s="111">
        <f t="shared" si="22"/>
        <v>31284.985666666667</v>
      </c>
      <c r="Q51" s="113">
        <f t="shared" si="23"/>
        <v>113715.01433333333</v>
      </c>
    </row>
    <row r="52" spans="1:17" s="7" customFormat="1" ht="38.25" customHeight="1" x14ac:dyDescent="0.2">
      <c r="A52" s="106">
        <v>20</v>
      </c>
      <c r="B52" s="122" t="s">
        <v>259</v>
      </c>
      <c r="C52" s="122" t="s">
        <v>285</v>
      </c>
      <c r="D52" s="122" t="s">
        <v>3</v>
      </c>
      <c r="E52" s="108" t="s">
        <v>283</v>
      </c>
      <c r="F52" s="108" t="s">
        <v>19</v>
      </c>
      <c r="G52" s="109">
        <v>45722</v>
      </c>
      <c r="H52" s="123">
        <v>45906</v>
      </c>
      <c r="I52" s="111">
        <v>65000</v>
      </c>
      <c r="J52" s="111">
        <v>0</v>
      </c>
      <c r="K52" s="111">
        <f t="shared" ref="K52" si="30">SUM(I52:J52)</f>
        <v>65000</v>
      </c>
      <c r="L52" s="111">
        <f>IF(I52&gt;=Datos!$D$14,(Datos!$D$14*Datos!$C$14),IF(I52&lt;=Datos!$D$14,(I52*Datos!$C$14)))</f>
        <v>1865.5</v>
      </c>
      <c r="M52" s="112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4427.5756666666657</v>
      </c>
      <c r="N52" s="111">
        <f>IF(I52&gt;=Datos!$D$15,(Datos!$D$15*Datos!$C$15),IF(I52&lt;=Datos!$D$15,(I52*Datos!$C$15)))</f>
        <v>1976</v>
      </c>
      <c r="O52" s="111">
        <v>25</v>
      </c>
      <c r="P52" s="111">
        <f t="shared" ref="P52" si="31">SUM(L52:O52)</f>
        <v>8294.0756666666657</v>
      </c>
      <c r="Q52" s="113">
        <f t="shared" ref="Q52" si="32">+K52-P52</f>
        <v>56705.924333333336</v>
      </c>
    </row>
    <row r="53" spans="1:17" s="85" customFormat="1" ht="36.75" customHeight="1" x14ac:dyDescent="0.2">
      <c r="A53" s="303" t="s">
        <v>455</v>
      </c>
      <c r="B53" s="305"/>
      <c r="C53" s="116">
        <v>5</v>
      </c>
      <c r="D53" s="116"/>
      <c r="E53" s="190"/>
      <c r="F53" s="117"/>
      <c r="G53" s="118"/>
      <c r="H53" s="119"/>
      <c r="I53" s="120">
        <f t="shared" ref="I53:Q53" si="33">SUM(I48:I52)</f>
        <v>385000</v>
      </c>
      <c r="J53" s="120">
        <f t="shared" si="33"/>
        <v>0</v>
      </c>
      <c r="K53" s="120">
        <f t="shared" si="33"/>
        <v>385000</v>
      </c>
      <c r="L53" s="120">
        <f t="shared" si="33"/>
        <v>11049.5</v>
      </c>
      <c r="M53" s="120">
        <f t="shared" si="33"/>
        <v>36521.127</v>
      </c>
      <c r="N53" s="120">
        <f t="shared" si="33"/>
        <v>11704</v>
      </c>
      <c r="O53" s="120">
        <f t="shared" si="33"/>
        <v>9542.869999999999</v>
      </c>
      <c r="P53" s="120">
        <f t="shared" si="33"/>
        <v>68817.497000000003</v>
      </c>
      <c r="Q53" s="120">
        <f t="shared" si="33"/>
        <v>316182.50300000003</v>
      </c>
    </row>
    <row r="54" spans="1:17" s="7" customFormat="1" ht="36.75" customHeight="1" x14ac:dyDescent="0.2">
      <c r="A54" s="303" t="s">
        <v>788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6"/>
    </row>
    <row r="55" spans="1:17" s="7" customFormat="1" ht="38.25" customHeight="1" x14ac:dyDescent="0.2">
      <c r="A55" s="106">
        <v>21</v>
      </c>
      <c r="B55" s="122" t="s">
        <v>702</v>
      </c>
      <c r="C55" s="122" t="s">
        <v>412</v>
      </c>
      <c r="D55" s="122" t="s">
        <v>3</v>
      </c>
      <c r="E55" s="108" t="s">
        <v>283</v>
      </c>
      <c r="F55" s="108" t="s">
        <v>19</v>
      </c>
      <c r="G55" s="109">
        <v>45778</v>
      </c>
      <c r="H55" s="123">
        <v>45962</v>
      </c>
      <c r="I55" s="111">
        <v>65000</v>
      </c>
      <c r="J55" s="111">
        <v>0</v>
      </c>
      <c r="K55" s="111">
        <f t="shared" ref="K55:K57" si="34">SUM(I55:J55)</f>
        <v>65000</v>
      </c>
      <c r="L55" s="111">
        <f>IF(I55&gt;=Datos!$D$14,(Datos!$D$14*Datos!$C$14),IF(I55&lt;=Datos!$D$14,(I55*Datos!$C$14)))</f>
        <v>1865.5</v>
      </c>
      <c r="M55" s="11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4427.5756666666657</v>
      </c>
      <c r="N55" s="111">
        <f>IF(I55&gt;=Datos!$D$15,(Datos!$D$15*Datos!$C$15),IF(I55&lt;=Datos!$D$15,(I55*Datos!$C$15)))</f>
        <v>1976</v>
      </c>
      <c r="O55" s="111">
        <v>2025</v>
      </c>
      <c r="P55" s="111">
        <f>SUM(L55:O55)</f>
        <v>10294.075666666666</v>
      </c>
      <c r="Q55" s="113">
        <f>+K55-P55</f>
        <v>54705.924333333336</v>
      </c>
    </row>
    <row r="56" spans="1:17" s="7" customFormat="1" ht="38.25" customHeight="1" x14ac:dyDescent="0.2">
      <c r="A56" s="106">
        <v>22</v>
      </c>
      <c r="B56" s="122" t="s">
        <v>474</v>
      </c>
      <c r="C56" s="122" t="s">
        <v>412</v>
      </c>
      <c r="D56" s="122" t="s">
        <v>3</v>
      </c>
      <c r="E56" s="108" t="s">
        <v>283</v>
      </c>
      <c r="F56" s="108" t="s">
        <v>19</v>
      </c>
      <c r="G56" s="109">
        <v>45717</v>
      </c>
      <c r="H56" s="123">
        <v>45901</v>
      </c>
      <c r="I56" s="111">
        <v>65000</v>
      </c>
      <c r="J56" s="111">
        <v>0</v>
      </c>
      <c r="K56" s="110">
        <f t="shared" ref="K56" si="35">SUM(I56:J56)</f>
        <v>65000</v>
      </c>
      <c r="L56" s="111">
        <f>IF(I56&gt;=Datos!$D$14,(Datos!$D$14*Datos!$C$14),IF(I56&lt;=Datos!$D$14,(I56*Datos!$C$14)))</f>
        <v>1865.5</v>
      </c>
      <c r="M56" s="112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4427.5756666666657</v>
      </c>
      <c r="N56" s="111">
        <f>IF(I56&gt;=Datos!$D$15,(Datos!$D$15*Datos!$C$15),IF(I56&lt;=Datos!$D$15,(I56*Datos!$C$15)))</f>
        <v>1976</v>
      </c>
      <c r="O56" s="111">
        <v>10661.47</v>
      </c>
      <c r="P56" s="111">
        <f t="shared" ref="P56" si="36">SUM(L56:O56)</f>
        <v>18930.545666666665</v>
      </c>
      <c r="Q56" s="113">
        <f t="shared" ref="Q56" si="37">+K56-P56</f>
        <v>46069.454333333335</v>
      </c>
    </row>
    <row r="57" spans="1:17" s="7" customFormat="1" ht="40.5" customHeight="1" x14ac:dyDescent="0.2">
      <c r="A57" s="106">
        <v>23</v>
      </c>
      <c r="B57" s="122" t="s">
        <v>328</v>
      </c>
      <c r="C57" s="122" t="s">
        <v>412</v>
      </c>
      <c r="D57" s="122" t="s">
        <v>479</v>
      </c>
      <c r="E57" s="108" t="s">
        <v>283</v>
      </c>
      <c r="F57" s="108" t="s">
        <v>19</v>
      </c>
      <c r="G57" s="109">
        <v>45717</v>
      </c>
      <c r="H57" s="123">
        <v>45901</v>
      </c>
      <c r="I57" s="111">
        <v>120000</v>
      </c>
      <c r="J57" s="111">
        <v>0</v>
      </c>
      <c r="K57" s="111">
        <f t="shared" si="34"/>
        <v>120000</v>
      </c>
      <c r="L57" s="111">
        <f>IF(I57&gt;=Datos!$D$14,(Datos!$D$14*Datos!$C$14),IF(I57&lt;=Datos!$D$14,(I57*Datos!$C$14)))</f>
        <v>3444</v>
      </c>
      <c r="M57" s="112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16809.860666666667</v>
      </c>
      <c r="N57" s="111">
        <f>IF(I57&gt;=Datos!$D$15,(Datos!$D$15*Datos!$C$15),IF(I57&lt;=Datos!$D$15,(I57*Datos!$C$15)))</f>
        <v>3648</v>
      </c>
      <c r="O57" s="111">
        <v>60025</v>
      </c>
      <c r="P57" s="111">
        <f>SUM(L57:O57)</f>
        <v>83926.860666666675</v>
      </c>
      <c r="Q57" s="113">
        <f>+K57-P57</f>
        <v>36073.139333333325</v>
      </c>
    </row>
    <row r="58" spans="1:17" s="85" customFormat="1" ht="36.75" customHeight="1" x14ac:dyDescent="0.2">
      <c r="A58" s="303" t="s">
        <v>455</v>
      </c>
      <c r="B58" s="305"/>
      <c r="C58" s="116">
        <v>3</v>
      </c>
      <c r="D58" s="307"/>
      <c r="E58" s="307"/>
      <c r="F58" s="307"/>
      <c r="G58" s="307"/>
      <c r="H58" s="308"/>
      <c r="I58" s="121">
        <f t="shared" ref="I58:Q58" si="38">SUM(I55:I57)</f>
        <v>250000</v>
      </c>
      <c r="J58" s="121">
        <f t="shared" si="38"/>
        <v>0</v>
      </c>
      <c r="K58" s="121">
        <f t="shared" si="38"/>
        <v>250000</v>
      </c>
      <c r="L58" s="121">
        <f t="shared" si="38"/>
        <v>7175</v>
      </c>
      <c r="M58" s="121">
        <f t="shared" si="38"/>
        <v>25665.011999999999</v>
      </c>
      <c r="N58" s="121">
        <f t="shared" si="38"/>
        <v>7600</v>
      </c>
      <c r="O58" s="121">
        <f t="shared" si="38"/>
        <v>72711.47</v>
      </c>
      <c r="P58" s="121">
        <f t="shared" si="38"/>
        <v>113151.482</v>
      </c>
      <c r="Q58" s="121">
        <f t="shared" si="38"/>
        <v>136848.51799999998</v>
      </c>
    </row>
    <row r="59" spans="1:17" s="7" customFormat="1" ht="36.75" customHeight="1" x14ac:dyDescent="0.2">
      <c r="A59" s="303" t="s">
        <v>806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6"/>
    </row>
    <row r="60" spans="1:17" s="7" customFormat="1" ht="38.25" customHeight="1" x14ac:dyDescent="0.2">
      <c r="A60" s="106">
        <v>24</v>
      </c>
      <c r="B60" s="133" t="s">
        <v>805</v>
      </c>
      <c r="C60" s="133" t="s">
        <v>412</v>
      </c>
      <c r="D60" s="133" t="s">
        <v>621</v>
      </c>
      <c r="E60" s="115" t="s">
        <v>283</v>
      </c>
      <c r="F60" s="115" t="s">
        <v>281</v>
      </c>
      <c r="G60" s="124">
        <v>45717</v>
      </c>
      <c r="H60" s="125">
        <v>45901</v>
      </c>
      <c r="I60" s="111">
        <v>120000</v>
      </c>
      <c r="J60" s="111">
        <v>0</v>
      </c>
      <c r="K60" s="111">
        <f>SUM(I60:J60)</f>
        <v>120000</v>
      </c>
      <c r="L60" s="111">
        <f>IF(I60&gt;=Datos!$D$14,(Datos!$D$14*Datos!$C$14),IF(I60&lt;=Datos!$D$14,(I60*Datos!$C$14)))</f>
        <v>3444</v>
      </c>
      <c r="M60" s="112">
        <v>16381</v>
      </c>
      <c r="N60" s="111">
        <f>IF(I60&gt;=Datos!$D$15,(Datos!$D$15*Datos!$C$15),IF(I60&lt;=Datos!$D$15,(I60*Datos!$C$15)))</f>
        <v>3648</v>
      </c>
      <c r="O60" s="111">
        <v>11740.46</v>
      </c>
      <c r="P60" s="111">
        <f>+L60+M60+N60+O60</f>
        <v>35213.46</v>
      </c>
      <c r="Q60" s="113">
        <f>+I60-P60</f>
        <v>84786.540000000008</v>
      </c>
    </row>
    <row r="61" spans="1:17" s="85" customFormat="1" ht="36.75" customHeight="1" x14ac:dyDescent="0.2">
      <c r="A61" s="303" t="s">
        <v>455</v>
      </c>
      <c r="B61" s="305"/>
      <c r="C61" s="116">
        <v>1</v>
      </c>
      <c r="D61" s="307"/>
      <c r="E61" s="307"/>
      <c r="F61" s="307"/>
      <c r="G61" s="307"/>
      <c r="H61" s="308"/>
      <c r="I61" s="185">
        <f>SUM(I60)</f>
        <v>120000</v>
      </c>
      <c r="J61" s="185">
        <f t="shared" ref="J61:Q61" si="39">SUM(J60)</f>
        <v>0</v>
      </c>
      <c r="K61" s="185">
        <f t="shared" si="39"/>
        <v>120000</v>
      </c>
      <c r="L61" s="185">
        <f t="shared" si="39"/>
        <v>3444</v>
      </c>
      <c r="M61" s="185">
        <f t="shared" si="39"/>
        <v>16381</v>
      </c>
      <c r="N61" s="185">
        <f t="shared" si="39"/>
        <v>3648</v>
      </c>
      <c r="O61" s="185">
        <f t="shared" si="39"/>
        <v>11740.46</v>
      </c>
      <c r="P61" s="185">
        <f t="shared" si="39"/>
        <v>35213.46</v>
      </c>
      <c r="Q61" s="185">
        <f t="shared" si="39"/>
        <v>84786.540000000008</v>
      </c>
    </row>
    <row r="62" spans="1:17" s="7" customFormat="1" ht="36.75" customHeight="1" x14ac:dyDescent="0.2">
      <c r="A62" s="303" t="s">
        <v>632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6"/>
    </row>
    <row r="63" spans="1:17" s="7" customFormat="1" ht="38.25" customHeight="1" x14ac:dyDescent="0.2">
      <c r="A63" s="106">
        <v>25</v>
      </c>
      <c r="B63" s="122" t="s">
        <v>703</v>
      </c>
      <c r="C63" s="122" t="s">
        <v>412</v>
      </c>
      <c r="D63" s="122" t="s">
        <v>634</v>
      </c>
      <c r="E63" s="108" t="s">
        <v>283</v>
      </c>
      <c r="F63" s="108" t="s">
        <v>19</v>
      </c>
      <c r="G63" s="109">
        <v>45778</v>
      </c>
      <c r="H63" s="123">
        <v>45962</v>
      </c>
      <c r="I63" s="111">
        <v>60000</v>
      </c>
      <c r="J63" s="111">
        <v>0</v>
      </c>
      <c r="K63" s="111">
        <f t="shared" ref="K63" si="40">SUM(I63:J63)</f>
        <v>60000</v>
      </c>
      <c r="L63" s="111">
        <f>IF(I63&gt;=Datos!$D$14,(Datos!$D$14*Datos!$C$14),IF(I63&lt;=Datos!$D$14,(I63*Datos!$C$14)))</f>
        <v>1722</v>
      </c>
      <c r="M63" s="112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3486.6756666666661</v>
      </c>
      <c r="N63" s="111">
        <f>IF(I63&gt;=Datos!$D$15,(Datos!$D$15*Datos!$C$15),IF(I63&lt;=Datos!$D$15,(I63*Datos!$C$15)))</f>
        <v>1824</v>
      </c>
      <c r="O63" s="111">
        <v>2769.06</v>
      </c>
      <c r="P63" s="111">
        <f>SUM(L63:O63)</f>
        <v>9801.7356666666656</v>
      </c>
      <c r="Q63" s="113">
        <f>+K63-P63</f>
        <v>50198.264333333333</v>
      </c>
    </row>
    <row r="64" spans="1:17" s="7" customFormat="1" ht="38.25" customHeight="1" x14ac:dyDescent="0.2">
      <c r="A64" s="106">
        <v>26</v>
      </c>
      <c r="B64" s="122" t="s">
        <v>850</v>
      </c>
      <c r="C64" s="122" t="s">
        <v>412</v>
      </c>
      <c r="D64" s="122" t="s">
        <v>3</v>
      </c>
      <c r="E64" s="108" t="s">
        <v>283</v>
      </c>
      <c r="F64" s="108" t="s">
        <v>19</v>
      </c>
      <c r="G64" s="109">
        <v>45748</v>
      </c>
      <c r="H64" s="123">
        <v>45931</v>
      </c>
      <c r="I64" s="111">
        <v>60000</v>
      </c>
      <c r="J64" s="111">
        <v>0</v>
      </c>
      <c r="K64" s="111">
        <f t="shared" ref="K64" si="41">SUM(I64:J64)</f>
        <v>60000</v>
      </c>
      <c r="L64" s="111">
        <f>IF(I64&gt;=Datos!$D$14,(Datos!$D$14*Datos!$C$14),IF(I64&lt;=Datos!$D$14,(I64*Datos!$C$14)))</f>
        <v>1722</v>
      </c>
      <c r="M64" s="112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3486.6756666666661</v>
      </c>
      <c r="N64" s="111">
        <f>IF(I64&gt;=Datos!$D$15,(Datos!$D$15*Datos!$C$15),IF(I64&lt;=Datos!$D$15,(I64*Datos!$C$15)))</f>
        <v>1824</v>
      </c>
      <c r="O64" s="111">
        <v>3025</v>
      </c>
      <c r="P64" s="111">
        <f>SUM(L64:O64)</f>
        <v>10057.675666666666</v>
      </c>
      <c r="Q64" s="113">
        <f>+K64-P64</f>
        <v>49942.324333333338</v>
      </c>
    </row>
    <row r="65" spans="1:17" s="7" customFormat="1" ht="38.25" customHeight="1" x14ac:dyDescent="0.2">
      <c r="A65" s="106">
        <v>27</v>
      </c>
      <c r="B65" s="122" t="s">
        <v>266</v>
      </c>
      <c r="C65" s="122" t="s">
        <v>412</v>
      </c>
      <c r="D65" s="122" t="s">
        <v>480</v>
      </c>
      <c r="E65" s="108" t="s">
        <v>283</v>
      </c>
      <c r="F65" s="108" t="s">
        <v>19</v>
      </c>
      <c r="G65" s="109">
        <v>45689</v>
      </c>
      <c r="H65" s="123">
        <v>45870</v>
      </c>
      <c r="I65" s="111">
        <v>120000</v>
      </c>
      <c r="J65" s="111">
        <v>0</v>
      </c>
      <c r="K65" s="111">
        <f t="shared" ref="K65" si="42">SUM(I65:J65)</f>
        <v>120000</v>
      </c>
      <c r="L65" s="111">
        <f>IF(I65&gt;=Datos!$D$14,(Datos!$D$14*Datos!$C$14),IF(I65&lt;=Datos!$D$14,(I65*Datos!$C$14)))</f>
        <v>3444</v>
      </c>
      <c r="M65" s="112">
        <v>16381</v>
      </c>
      <c r="N65" s="111">
        <f>IF(I65&gt;=Datos!$D$15,(Datos!$D$15*Datos!$C$15),IF(I65&lt;=Datos!$D$15,(I65*Datos!$C$15)))</f>
        <v>3648</v>
      </c>
      <c r="O65" s="111">
        <v>1740.46</v>
      </c>
      <c r="P65" s="111">
        <f>SUM(L65:O65)</f>
        <v>25213.46</v>
      </c>
      <c r="Q65" s="113">
        <f>+K65-P65</f>
        <v>94786.540000000008</v>
      </c>
    </row>
    <row r="66" spans="1:17" s="85" customFormat="1" ht="36.75" customHeight="1" x14ac:dyDescent="0.2">
      <c r="A66" s="303" t="s">
        <v>455</v>
      </c>
      <c r="B66" s="305"/>
      <c r="C66" s="116">
        <v>3</v>
      </c>
      <c r="D66" s="307"/>
      <c r="E66" s="307"/>
      <c r="F66" s="307"/>
      <c r="G66" s="307"/>
      <c r="H66" s="308"/>
      <c r="I66" s="121">
        <f t="shared" ref="I66:Q66" si="43">SUM(I63:I65)</f>
        <v>240000</v>
      </c>
      <c r="J66" s="121">
        <f t="shared" si="43"/>
        <v>0</v>
      </c>
      <c r="K66" s="121">
        <f t="shared" si="43"/>
        <v>240000</v>
      </c>
      <c r="L66" s="121">
        <f t="shared" si="43"/>
        <v>6888</v>
      </c>
      <c r="M66" s="121">
        <f t="shared" si="43"/>
        <v>23354.351333333332</v>
      </c>
      <c r="N66" s="121">
        <f t="shared" si="43"/>
        <v>7296</v>
      </c>
      <c r="O66" s="121">
        <f t="shared" si="43"/>
        <v>7534.5199999999995</v>
      </c>
      <c r="P66" s="121">
        <f t="shared" si="43"/>
        <v>45072.871333333329</v>
      </c>
      <c r="Q66" s="121">
        <f t="shared" si="43"/>
        <v>194927.12866666669</v>
      </c>
    </row>
    <row r="67" spans="1:17" s="7" customFormat="1" ht="36.75" customHeight="1" x14ac:dyDescent="0.2">
      <c r="A67" s="303" t="s">
        <v>475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 t="e">
        <f>SUM(#REF!)</f>
        <v>#REF!</v>
      </c>
      <c r="Q67" s="306" t="e">
        <f>SUM(#REF!)</f>
        <v>#REF!</v>
      </c>
    </row>
    <row r="68" spans="1:17" s="7" customFormat="1" ht="38.25" customHeight="1" x14ac:dyDescent="0.2">
      <c r="A68" s="106">
        <v>28</v>
      </c>
      <c r="B68" s="122" t="s">
        <v>289</v>
      </c>
      <c r="C68" s="122" t="s">
        <v>286</v>
      </c>
      <c r="D68" s="122" t="s">
        <v>420</v>
      </c>
      <c r="E68" s="108" t="s">
        <v>283</v>
      </c>
      <c r="F68" s="108" t="s">
        <v>281</v>
      </c>
      <c r="G68" s="109">
        <v>45839</v>
      </c>
      <c r="H68" s="123">
        <v>46023</v>
      </c>
      <c r="I68" s="111">
        <v>45000</v>
      </c>
      <c r="J68" s="111">
        <v>0</v>
      </c>
      <c r="K68" s="111">
        <f t="shared" ref="K68:K70" si="44">SUM(I68:J68)</f>
        <v>45000</v>
      </c>
      <c r="L68" s="111">
        <f>IF(I68&gt;=Datos!$D$14,(Datos!$D$14*Datos!$C$14),IF(I68&lt;=Datos!$D$14,(I68*Datos!$C$14)))</f>
        <v>1291.5</v>
      </c>
      <c r="M68" s="112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1148.3234999999997</v>
      </c>
      <c r="N68" s="111">
        <f>IF(I68&gt;=Datos!$D$15,(Datos!$D$15*Datos!$C$15),IF(I68&lt;=Datos!$D$15,(I68*Datos!$C$15)))</f>
        <v>1368</v>
      </c>
      <c r="O68" s="111">
        <v>25</v>
      </c>
      <c r="P68" s="111">
        <f>SUM(L68:O68)</f>
        <v>3832.8234999999995</v>
      </c>
      <c r="Q68" s="113">
        <f t="shared" ref="Q68:Q70" si="45">+K68-P68</f>
        <v>41167.176500000001</v>
      </c>
    </row>
    <row r="69" spans="1:17" s="7" customFormat="1" ht="38.25" customHeight="1" x14ac:dyDescent="0.2">
      <c r="A69" s="106">
        <v>29</v>
      </c>
      <c r="B69" s="122" t="s">
        <v>490</v>
      </c>
      <c r="C69" s="122" t="s">
        <v>412</v>
      </c>
      <c r="D69" s="122" t="s">
        <v>493</v>
      </c>
      <c r="E69" s="108" t="s">
        <v>283</v>
      </c>
      <c r="F69" s="108" t="s">
        <v>281</v>
      </c>
      <c r="G69" s="109">
        <v>45839</v>
      </c>
      <c r="H69" s="123">
        <v>46023</v>
      </c>
      <c r="I69" s="111">
        <v>70000</v>
      </c>
      <c r="J69" s="111">
        <v>0</v>
      </c>
      <c r="K69" s="111">
        <f t="shared" ref="K69" si="46">SUM(I69:J69)</f>
        <v>70000</v>
      </c>
      <c r="L69" s="111">
        <f>IF(I69&gt;=Datos!$D$14,(Datos!$D$14*Datos!$C$14),IF(I69&lt;=Datos!$D$14,(I69*Datos!$C$14)))</f>
        <v>2009</v>
      </c>
      <c r="M69" s="112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5368.4756666666663</v>
      </c>
      <c r="N69" s="111">
        <f>IF(I69&gt;=Datos!$D$15,(Datos!$D$15*Datos!$C$15),IF(I69&lt;=Datos!$D$15,(I69*Datos!$C$15)))</f>
        <v>2128</v>
      </c>
      <c r="O69" s="111">
        <v>25</v>
      </c>
      <c r="P69" s="111">
        <f>SUM(L69:O69)</f>
        <v>9530.4756666666653</v>
      </c>
      <c r="Q69" s="113">
        <f t="shared" si="45"/>
        <v>60469.524333333335</v>
      </c>
    </row>
    <row r="70" spans="1:17" s="7" customFormat="1" ht="38.25" customHeight="1" x14ac:dyDescent="0.2">
      <c r="A70" s="106">
        <v>30</v>
      </c>
      <c r="B70" s="114" t="s">
        <v>359</v>
      </c>
      <c r="C70" s="122" t="s">
        <v>285</v>
      </c>
      <c r="D70" s="122" t="s">
        <v>420</v>
      </c>
      <c r="E70" s="108" t="s">
        <v>283</v>
      </c>
      <c r="F70" s="108" t="s">
        <v>281</v>
      </c>
      <c r="G70" s="109">
        <v>45809</v>
      </c>
      <c r="H70" s="109">
        <v>45992</v>
      </c>
      <c r="I70" s="111">
        <v>6000</v>
      </c>
      <c r="J70" s="111">
        <v>0</v>
      </c>
      <c r="K70" s="111">
        <f t="shared" si="44"/>
        <v>6000</v>
      </c>
      <c r="L70" s="111">
        <f>IF(I70&gt;=Datos!$D$14,(Datos!$D$14*Datos!$C$14),IF(I70&lt;=Datos!$D$14,(I70*Datos!$C$14)))</f>
        <v>172.2</v>
      </c>
      <c r="M70" s="112" t="str">
        <f>IF((I70-L70-N70)&lt;=Datos!$G$7,"0",IF((I70-L70-N70)&lt;=Datos!$G$8,((I70-L70-N70)-Datos!$F$8)*Datos!$I$6,IF((I70-L70-N70)&lt;=Datos!$G$9,Datos!$I$8+((I70-L70-N70)-Datos!$F$9)*Datos!$J$6,IF((I70-L70-N70)&gt;=Datos!$F$10,(Datos!$I$8+Datos!$J$8)+((I70-L70-N70)-Datos!$F$10)*Datos!$K$6))))</f>
        <v>0</v>
      </c>
      <c r="N70" s="111">
        <f>IF(I70&gt;=Datos!$D$15,(Datos!$D$15*Datos!$C$15),IF(I70&lt;=Datos!$D$15,(I70*Datos!$C$15)))</f>
        <v>182.4</v>
      </c>
      <c r="O70" s="111">
        <v>25</v>
      </c>
      <c r="P70" s="111">
        <f t="shared" ref="P70" si="47">SUM(L70:O70)</f>
        <v>379.6</v>
      </c>
      <c r="Q70" s="113">
        <f t="shared" si="45"/>
        <v>5620.4</v>
      </c>
    </row>
    <row r="71" spans="1:17" s="85" customFormat="1" ht="36.75" customHeight="1" x14ac:dyDescent="0.2">
      <c r="A71" s="303" t="s">
        <v>455</v>
      </c>
      <c r="B71" s="305"/>
      <c r="C71" s="116">
        <v>3</v>
      </c>
      <c r="D71" s="116"/>
      <c r="E71" s="190"/>
      <c r="F71" s="117"/>
      <c r="G71" s="118"/>
      <c r="H71" s="119"/>
      <c r="I71" s="120">
        <f t="shared" ref="I71:Q71" si="48">SUM(I68:I70)</f>
        <v>121000</v>
      </c>
      <c r="J71" s="120">
        <f t="shared" si="48"/>
        <v>0</v>
      </c>
      <c r="K71" s="120">
        <f t="shared" si="48"/>
        <v>121000</v>
      </c>
      <c r="L71" s="120">
        <f t="shared" si="48"/>
        <v>3472.7</v>
      </c>
      <c r="M71" s="120">
        <f t="shared" si="48"/>
        <v>6516.7991666666658</v>
      </c>
      <c r="N71" s="120">
        <f t="shared" si="48"/>
        <v>3678.4</v>
      </c>
      <c r="O71" s="120">
        <f t="shared" si="48"/>
        <v>75</v>
      </c>
      <c r="P71" s="120">
        <f t="shared" si="48"/>
        <v>13742.899166666664</v>
      </c>
      <c r="Q71" s="120">
        <f t="shared" si="48"/>
        <v>107257.10083333333</v>
      </c>
    </row>
    <row r="72" spans="1:17" s="7" customFormat="1" ht="36.75" customHeight="1" x14ac:dyDescent="0.2">
      <c r="A72" s="303" t="s">
        <v>635</v>
      </c>
      <c r="B72" s="305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6"/>
    </row>
    <row r="73" spans="1:17" s="7" customFormat="1" ht="38.25" customHeight="1" x14ac:dyDescent="0.2">
      <c r="A73" s="106">
        <v>31</v>
      </c>
      <c r="B73" s="122" t="s">
        <v>636</v>
      </c>
      <c r="C73" s="122" t="s">
        <v>412</v>
      </c>
      <c r="D73" s="122" t="s">
        <v>621</v>
      </c>
      <c r="E73" s="108" t="s">
        <v>283</v>
      </c>
      <c r="F73" s="108" t="s">
        <v>19</v>
      </c>
      <c r="G73" s="109">
        <v>45689</v>
      </c>
      <c r="H73" s="123">
        <v>45870</v>
      </c>
      <c r="I73" s="111">
        <v>105000</v>
      </c>
      <c r="J73" s="111">
        <v>0</v>
      </c>
      <c r="K73" s="111">
        <f>SUM(I73:J73)</f>
        <v>105000</v>
      </c>
      <c r="L73" s="111">
        <f>IF(I73&gt;=Datos!$D$14,(Datos!$D$14*Datos!$C$14),IF(I73&lt;=Datos!$D$14,(I73*Datos!$C$14)))</f>
        <v>3013.5</v>
      </c>
      <c r="M73" s="112">
        <v>828.08</v>
      </c>
      <c r="N73" s="111">
        <f>IF(I73&gt;=Datos!$D$15,(Datos!$D$15*Datos!$C$15),IF(I73&lt;=Datos!$D$15,(I73*Datos!$C$15)))</f>
        <v>3192</v>
      </c>
      <c r="O73" s="111">
        <v>25</v>
      </c>
      <c r="P73" s="111">
        <f>+L73+M73+N73+O73</f>
        <v>7058.58</v>
      </c>
      <c r="Q73" s="113">
        <f>+I73-P73</f>
        <v>97941.42</v>
      </c>
    </row>
    <row r="74" spans="1:17" s="7" customFormat="1" ht="38.25" customHeight="1" x14ac:dyDescent="0.2">
      <c r="A74" s="106">
        <v>32</v>
      </c>
      <c r="B74" s="122" t="s">
        <v>851</v>
      </c>
      <c r="C74" s="122" t="s">
        <v>284</v>
      </c>
      <c r="D74" s="122" t="s">
        <v>853</v>
      </c>
      <c r="E74" s="108" t="s">
        <v>283</v>
      </c>
      <c r="F74" s="108" t="s">
        <v>281</v>
      </c>
      <c r="G74" s="109">
        <v>45748</v>
      </c>
      <c r="H74" s="123">
        <v>45931</v>
      </c>
      <c r="I74" s="111">
        <v>35000</v>
      </c>
      <c r="J74" s="111">
        <v>0</v>
      </c>
      <c r="K74" s="111">
        <f t="shared" ref="K74:K75" si="49">SUM(I74:J74)</f>
        <v>35000</v>
      </c>
      <c r="L74" s="111">
        <f>IF(I74&gt;=Datos!$D$14,(Datos!$D$14*Datos!$C$14),IF(I74&lt;=Datos!$D$14,(I74*Datos!$C$14)))</f>
        <v>1004.5</v>
      </c>
      <c r="M74" s="112" t="str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0</v>
      </c>
      <c r="N74" s="111">
        <f>IF(I74&gt;=Datos!$D$15,(Datos!$D$15*Datos!$C$15),IF(I74&lt;=Datos!$D$15,(I74*Datos!$C$15)))</f>
        <v>1064</v>
      </c>
      <c r="O74" s="111">
        <v>25</v>
      </c>
      <c r="P74" s="111">
        <f t="shared" ref="P74:P75" si="50">+L74+M74+N74+O74</f>
        <v>2093.5</v>
      </c>
      <c r="Q74" s="113">
        <f t="shared" ref="Q74:Q75" si="51">+I74-P74</f>
        <v>32906.5</v>
      </c>
    </row>
    <row r="75" spans="1:17" s="7" customFormat="1" ht="38.25" customHeight="1" x14ac:dyDescent="0.2">
      <c r="A75" s="106">
        <v>33</v>
      </c>
      <c r="B75" s="114" t="s">
        <v>852</v>
      </c>
      <c r="C75" s="122" t="s">
        <v>332</v>
      </c>
      <c r="D75" s="122" t="s">
        <v>853</v>
      </c>
      <c r="E75" s="108" t="s">
        <v>283</v>
      </c>
      <c r="F75" s="108" t="s">
        <v>281</v>
      </c>
      <c r="G75" s="109">
        <v>45748</v>
      </c>
      <c r="H75" s="109">
        <v>45931</v>
      </c>
      <c r="I75" s="111">
        <v>45000</v>
      </c>
      <c r="J75" s="111">
        <v>0</v>
      </c>
      <c r="K75" s="111">
        <f t="shared" si="49"/>
        <v>45000</v>
      </c>
      <c r="L75" s="111">
        <f>IF(I75&gt;=Datos!$D$14,(Datos!$D$14*Datos!$C$14),IF(I75&lt;=Datos!$D$14,(I75*Datos!$C$14)))</f>
        <v>1291.5</v>
      </c>
      <c r="M75" s="112">
        <f>IF((I75-L75-N75)&lt;=Datos!$G$7,"0",IF((I75-L75-N75)&lt;=Datos!$G$8,((I75-L75-N75)-Datos!$F$8)*Datos!$I$6,IF((I75-L75-N75)&lt;=Datos!$G$9,Datos!$I$8+((I75-L75-N75)-Datos!$F$9)*Datos!$J$6,IF((I75-L75-N75)&gt;=Datos!$F$10,(Datos!$I$8+Datos!$J$8)+((I75-L75-N75)-Datos!$F$10)*Datos!$K$6))))</f>
        <v>1148.3234999999997</v>
      </c>
      <c r="N75" s="111">
        <f>IF(I75&gt;=Datos!$D$15,(Datos!$D$15*Datos!$C$15),IF(I75&lt;=Datos!$D$15,(I75*Datos!$C$15)))</f>
        <v>1368</v>
      </c>
      <c r="O75" s="111">
        <v>25</v>
      </c>
      <c r="P75" s="111">
        <f t="shared" si="50"/>
        <v>3832.8234999999995</v>
      </c>
      <c r="Q75" s="113">
        <f t="shared" si="51"/>
        <v>41167.176500000001</v>
      </c>
    </row>
    <row r="76" spans="1:17" s="85" customFormat="1" ht="36.75" customHeight="1" x14ac:dyDescent="0.2">
      <c r="A76" s="303" t="s">
        <v>455</v>
      </c>
      <c r="B76" s="305"/>
      <c r="C76" s="116">
        <v>3</v>
      </c>
      <c r="D76" s="307"/>
      <c r="E76" s="307"/>
      <c r="F76" s="307"/>
      <c r="G76" s="307"/>
      <c r="H76" s="308"/>
      <c r="I76" s="185">
        <f>SUM(I73:I75)</f>
        <v>185000</v>
      </c>
      <c r="J76" s="185">
        <f t="shared" ref="J76:Q76" si="52">SUM(J73:J75)</f>
        <v>0</v>
      </c>
      <c r="K76" s="185">
        <f t="shared" si="52"/>
        <v>185000</v>
      </c>
      <c r="L76" s="185">
        <f t="shared" si="52"/>
        <v>5309.5</v>
      </c>
      <c r="M76" s="185">
        <f t="shared" si="52"/>
        <v>1976.4034999999999</v>
      </c>
      <c r="N76" s="185">
        <f t="shared" si="52"/>
        <v>5624</v>
      </c>
      <c r="O76" s="185">
        <f t="shared" si="52"/>
        <v>75</v>
      </c>
      <c r="P76" s="185">
        <f t="shared" si="52"/>
        <v>12984.9035</v>
      </c>
      <c r="Q76" s="185">
        <f t="shared" si="52"/>
        <v>172015.09649999999</v>
      </c>
    </row>
    <row r="77" spans="1:17" s="7" customFormat="1" ht="36.75" customHeight="1" x14ac:dyDescent="0.2">
      <c r="A77" s="303" t="s">
        <v>789</v>
      </c>
      <c r="B77" s="305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 t="e">
        <f>SUM(#REF!)</f>
        <v>#REF!</v>
      </c>
      <c r="Q77" s="306" t="e">
        <f>SUM(#REF!)</f>
        <v>#REF!</v>
      </c>
    </row>
    <row r="78" spans="1:17" s="7" customFormat="1" ht="38.25" customHeight="1" x14ac:dyDescent="0.2">
      <c r="A78" s="106">
        <v>34</v>
      </c>
      <c r="B78" s="122" t="s">
        <v>714</v>
      </c>
      <c r="C78" s="122" t="s">
        <v>412</v>
      </c>
      <c r="D78" s="122" t="s">
        <v>715</v>
      </c>
      <c r="E78" s="108" t="s">
        <v>283</v>
      </c>
      <c r="F78" s="108" t="s">
        <v>19</v>
      </c>
      <c r="G78" s="109">
        <v>45809</v>
      </c>
      <c r="H78" s="123">
        <v>45992</v>
      </c>
      <c r="I78" s="111">
        <v>60000</v>
      </c>
      <c r="J78" s="111">
        <v>0</v>
      </c>
      <c r="K78" s="111">
        <f t="shared" ref="K78:K80" si="53">SUM(I78:J78)</f>
        <v>60000</v>
      </c>
      <c r="L78" s="111">
        <f>IF(I78&gt;=Datos!$D$14,(Datos!$D$14*Datos!$C$14),IF(I78&lt;=Datos!$D$14,(I78*Datos!$C$14)))</f>
        <v>1722</v>
      </c>
      <c r="M78" s="112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3486.6756666666661</v>
      </c>
      <c r="N78" s="111">
        <f>IF(I78&gt;=Datos!$D$15,(Datos!$D$15*Datos!$C$15),IF(I78&lt;=Datos!$D$15,(I78*Datos!$C$15)))</f>
        <v>1824</v>
      </c>
      <c r="O78" s="111">
        <v>25</v>
      </c>
      <c r="P78" s="111">
        <f>SUM(L78:O78)</f>
        <v>7057.6756666666661</v>
      </c>
      <c r="Q78" s="113">
        <f t="shared" ref="Q78:Q80" si="54">+K78-P78</f>
        <v>52942.324333333338</v>
      </c>
    </row>
    <row r="79" spans="1:17" s="7" customFormat="1" ht="38.25" customHeight="1" x14ac:dyDescent="0.2">
      <c r="A79" s="106">
        <v>35</v>
      </c>
      <c r="B79" s="122" t="s">
        <v>261</v>
      </c>
      <c r="C79" s="122" t="s">
        <v>412</v>
      </c>
      <c r="D79" s="122" t="s">
        <v>517</v>
      </c>
      <c r="E79" s="108" t="s">
        <v>283</v>
      </c>
      <c r="F79" s="108" t="s">
        <v>281</v>
      </c>
      <c r="G79" s="109">
        <v>45839</v>
      </c>
      <c r="H79" s="123">
        <v>46023</v>
      </c>
      <c r="I79" s="111">
        <v>105000</v>
      </c>
      <c r="J79" s="111">
        <v>0</v>
      </c>
      <c r="K79" s="111">
        <f t="shared" ref="K79" si="55">SUM(I79:J79)</f>
        <v>105000</v>
      </c>
      <c r="L79" s="111">
        <f>IF(I79&gt;=Datos!$D$14,(Datos!$D$14*Datos!$C$14),IF(I79&lt;=Datos!$D$14,(I79*Datos!$C$14)))</f>
        <v>3013.5</v>
      </c>
      <c r="M79" s="112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13281.485666666667</v>
      </c>
      <c r="N79" s="111">
        <f>IF(I79&gt;=Datos!$D$15,(Datos!$D$15*Datos!$C$15),IF(I79&lt;=Datos!$D$15,(I79*Datos!$C$15)))</f>
        <v>3192</v>
      </c>
      <c r="O79" s="111">
        <v>25</v>
      </c>
      <c r="P79" s="111">
        <f>SUM(L79:O79)</f>
        <v>19511.985666666667</v>
      </c>
      <c r="Q79" s="113">
        <f t="shared" si="54"/>
        <v>85488.014333333325</v>
      </c>
    </row>
    <row r="80" spans="1:17" s="7" customFormat="1" ht="38.25" customHeight="1" x14ac:dyDescent="0.2">
      <c r="A80" s="106">
        <v>36</v>
      </c>
      <c r="B80" s="122" t="s">
        <v>290</v>
      </c>
      <c r="C80" s="122" t="s">
        <v>412</v>
      </c>
      <c r="D80" s="122" t="s">
        <v>419</v>
      </c>
      <c r="E80" s="108" t="s">
        <v>283</v>
      </c>
      <c r="F80" s="108" t="s">
        <v>281</v>
      </c>
      <c r="G80" s="109">
        <v>45748</v>
      </c>
      <c r="H80" s="123">
        <v>45931</v>
      </c>
      <c r="I80" s="111">
        <v>70000</v>
      </c>
      <c r="J80" s="111">
        <v>0</v>
      </c>
      <c r="K80" s="111">
        <f t="shared" si="53"/>
        <v>70000</v>
      </c>
      <c r="L80" s="111">
        <f>IF(I80&gt;=Datos!$D$14,(Datos!$D$14*Datos!$C$14),IF(I80&lt;=Datos!$D$14,(I80*Datos!$C$14)))</f>
        <v>2009</v>
      </c>
      <c r="M80" s="112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5368.4756666666663</v>
      </c>
      <c r="N80" s="111">
        <f>IF(I80&gt;=Datos!$D$15,(Datos!$D$15*Datos!$C$15),IF(I80&lt;=Datos!$D$15,(I80*Datos!$C$15)))</f>
        <v>2128</v>
      </c>
      <c r="O80" s="111">
        <v>25</v>
      </c>
      <c r="P80" s="111">
        <f>SUM(L80:O80)</f>
        <v>9530.4756666666653</v>
      </c>
      <c r="Q80" s="113">
        <f t="shared" si="54"/>
        <v>60469.524333333335</v>
      </c>
    </row>
    <row r="81" spans="1:17" s="85" customFormat="1" ht="36.75" customHeight="1" x14ac:dyDescent="0.2">
      <c r="A81" s="303" t="s">
        <v>455</v>
      </c>
      <c r="B81" s="305"/>
      <c r="C81" s="116">
        <v>3</v>
      </c>
      <c r="D81" s="116"/>
      <c r="E81" s="190"/>
      <c r="F81" s="117"/>
      <c r="G81" s="118"/>
      <c r="H81" s="119"/>
      <c r="I81" s="120">
        <f t="shared" ref="I81:Q81" si="56">SUM(I78:I80)</f>
        <v>235000</v>
      </c>
      <c r="J81" s="120">
        <f t="shared" si="56"/>
        <v>0</v>
      </c>
      <c r="K81" s="120">
        <f t="shared" si="56"/>
        <v>235000</v>
      </c>
      <c r="L81" s="120">
        <f t="shared" si="56"/>
        <v>6744.5</v>
      </c>
      <c r="M81" s="120">
        <f t="shared" si="56"/>
        <v>22136.636999999999</v>
      </c>
      <c r="N81" s="120">
        <f t="shared" si="56"/>
        <v>7144</v>
      </c>
      <c r="O81" s="120">
        <f t="shared" si="56"/>
        <v>75</v>
      </c>
      <c r="P81" s="120">
        <f t="shared" si="56"/>
        <v>36100.137000000002</v>
      </c>
      <c r="Q81" s="120">
        <f t="shared" si="56"/>
        <v>198899.86299999998</v>
      </c>
    </row>
    <row r="82" spans="1:17" s="7" customFormat="1" ht="36.75" customHeight="1" x14ac:dyDescent="0.2">
      <c r="A82" s="303" t="s">
        <v>637</v>
      </c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6"/>
    </row>
    <row r="83" spans="1:17" s="7" customFormat="1" ht="38.25" customHeight="1" x14ac:dyDescent="0.2">
      <c r="A83" s="106">
        <v>37</v>
      </c>
      <c r="B83" s="122" t="s">
        <v>716</v>
      </c>
      <c r="C83" s="122" t="s">
        <v>286</v>
      </c>
      <c r="D83" s="122" t="s">
        <v>269</v>
      </c>
      <c r="E83" s="108" t="s">
        <v>283</v>
      </c>
      <c r="F83" s="108" t="s">
        <v>19</v>
      </c>
      <c r="G83" s="109">
        <v>45809</v>
      </c>
      <c r="H83" s="123">
        <v>45992</v>
      </c>
      <c r="I83" s="111">
        <v>70000</v>
      </c>
      <c r="J83" s="111">
        <v>0</v>
      </c>
      <c r="K83" s="111">
        <f t="shared" ref="K83" si="57">SUM(I83:J83)</f>
        <v>70000</v>
      </c>
      <c r="L83" s="111">
        <f>IF(I83&gt;=Datos!$D$14,(Datos!$D$14*Datos!$C$14),IF(I83&lt;=Datos!$D$14,(I83*Datos!$C$14)))</f>
        <v>2009</v>
      </c>
      <c r="M83" s="112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5368.4756666666663</v>
      </c>
      <c r="N83" s="111">
        <f>IF(I83&gt;=Datos!$D$15,(Datos!$D$15*Datos!$C$15),IF(I83&lt;=Datos!$D$15,(I83*Datos!$C$15)))</f>
        <v>2128</v>
      </c>
      <c r="O83" s="111">
        <v>1525</v>
      </c>
      <c r="P83" s="111">
        <f t="shared" ref="P83:P84" si="58">+L83+M83+N83+O83</f>
        <v>11030.475666666665</v>
      </c>
      <c r="Q83" s="113">
        <f t="shared" ref="Q83:Q84" si="59">+I83-P83</f>
        <v>58969.524333333335</v>
      </c>
    </row>
    <row r="84" spans="1:17" s="7" customFormat="1" ht="38.25" customHeight="1" x14ac:dyDescent="0.2">
      <c r="A84" s="106">
        <v>38</v>
      </c>
      <c r="B84" s="107" t="s">
        <v>257</v>
      </c>
      <c r="C84" s="107" t="s">
        <v>285</v>
      </c>
      <c r="D84" s="107" t="s">
        <v>267</v>
      </c>
      <c r="E84" s="108" t="s">
        <v>283</v>
      </c>
      <c r="F84" s="108" t="s">
        <v>19</v>
      </c>
      <c r="G84" s="109">
        <v>45778</v>
      </c>
      <c r="H84" s="123">
        <v>45962</v>
      </c>
      <c r="I84" s="110">
        <v>100000</v>
      </c>
      <c r="J84" s="111">
        <v>0</v>
      </c>
      <c r="K84" s="111">
        <f t="shared" ref="K84" si="60">SUM(I84:J84)</f>
        <v>100000</v>
      </c>
      <c r="L84" s="111">
        <f>IF(I84&gt;=Datos!$D$14,(Datos!$D$14*Datos!$C$14),IF(I84&lt;=Datos!$D$14,(I84*Datos!$C$14)))</f>
        <v>2870</v>
      </c>
      <c r="M84" s="112">
        <f>IF((I84-L84-N84)&lt;=Datos!$G$7,"0",IF((I84-L84-N84)&lt;=Datos!$G$8,((I84-L84-N84)-Datos!$F$8)*Datos!$I$6,IF((I84-L84-N84)&lt;=Datos!$G$9,Datos!$I$8+((I84-L84-N84)-Datos!$F$9)*Datos!$J$6,IF((I84-L84-N84)&gt;=Datos!$F$10,(Datos!$I$8+Datos!$J$8)+((I84-L84-N84)-Datos!$F$10)*Datos!$K$6))))</f>
        <v>12105.360666666667</v>
      </c>
      <c r="N84" s="111">
        <f>IF(I84&gt;=Datos!$D$15,(Datos!$D$15*Datos!$C$15),IF(I84&lt;=Datos!$D$15,(I84*Datos!$C$15)))</f>
        <v>3040</v>
      </c>
      <c r="O84" s="111">
        <v>25</v>
      </c>
      <c r="P84" s="111">
        <f t="shared" si="58"/>
        <v>18040.360666666667</v>
      </c>
      <c r="Q84" s="113">
        <f t="shared" si="59"/>
        <v>81959.639333333325</v>
      </c>
    </row>
    <row r="85" spans="1:17" s="85" customFormat="1" ht="36.75" customHeight="1" x14ac:dyDescent="0.2">
      <c r="A85" s="303" t="s">
        <v>455</v>
      </c>
      <c r="B85" s="305"/>
      <c r="C85" s="116">
        <v>2</v>
      </c>
      <c r="D85" s="116"/>
      <c r="E85" s="190"/>
      <c r="F85" s="117"/>
      <c r="G85" s="118"/>
      <c r="H85" s="119"/>
      <c r="I85" s="120">
        <f t="shared" ref="I85:Q85" si="61">SUM(I83:I84)</f>
        <v>170000</v>
      </c>
      <c r="J85" s="120">
        <f t="shared" si="61"/>
        <v>0</v>
      </c>
      <c r="K85" s="120">
        <f t="shared" si="61"/>
        <v>170000</v>
      </c>
      <c r="L85" s="120">
        <f t="shared" si="61"/>
        <v>4879</v>
      </c>
      <c r="M85" s="120">
        <f t="shared" si="61"/>
        <v>17473.836333333333</v>
      </c>
      <c r="N85" s="120">
        <f t="shared" si="61"/>
        <v>5168</v>
      </c>
      <c r="O85" s="120">
        <f t="shared" si="61"/>
        <v>1550</v>
      </c>
      <c r="P85" s="120">
        <f t="shared" si="61"/>
        <v>29070.836333333333</v>
      </c>
      <c r="Q85" s="120">
        <f t="shared" si="61"/>
        <v>140929.16366666666</v>
      </c>
    </row>
    <row r="86" spans="1:17" s="7" customFormat="1" ht="36.75" customHeight="1" x14ac:dyDescent="0.2">
      <c r="A86" s="303" t="s">
        <v>495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6"/>
    </row>
    <row r="87" spans="1:17" s="7" customFormat="1" ht="38.25" customHeight="1" x14ac:dyDescent="0.2">
      <c r="A87" s="98">
        <v>39</v>
      </c>
      <c r="B87" s="99" t="s">
        <v>358</v>
      </c>
      <c r="C87" s="122" t="s">
        <v>412</v>
      </c>
      <c r="D87" s="122" t="s">
        <v>317</v>
      </c>
      <c r="E87" s="108" t="s">
        <v>283</v>
      </c>
      <c r="F87" s="108" t="s">
        <v>19</v>
      </c>
      <c r="G87" s="109">
        <v>45809</v>
      </c>
      <c r="H87" s="109">
        <v>45992</v>
      </c>
      <c r="I87" s="111">
        <v>80000</v>
      </c>
      <c r="J87" s="111">
        <v>0</v>
      </c>
      <c r="K87" s="111">
        <f t="shared" ref="K87" si="62">SUM(I87:J87)</f>
        <v>80000</v>
      </c>
      <c r="L87" s="111">
        <f>IF(I87&gt;=Datos!$D$14,(Datos!$D$14*Datos!$C$14),IF(I87&lt;=Datos!$D$14,(I87*Datos!$C$14)))</f>
        <v>2296</v>
      </c>
      <c r="M87" s="104">
        <v>6972</v>
      </c>
      <c r="N87" s="111">
        <f>IF(I87&gt;=Datos!$D$15,(Datos!$D$15*Datos!$C$15),IF(I87&lt;=Datos!$D$15,(I87*Datos!$C$15)))</f>
        <v>2432</v>
      </c>
      <c r="O87" s="110">
        <v>1740.46</v>
      </c>
      <c r="P87" s="111">
        <f>+L87+M87+N87+O87</f>
        <v>13440.46</v>
      </c>
      <c r="Q87" s="113">
        <f>+I87-P87</f>
        <v>66559.540000000008</v>
      </c>
    </row>
    <row r="88" spans="1:17" ht="38.25" customHeight="1" x14ac:dyDescent="0.2">
      <c r="A88" s="98">
        <v>40</v>
      </c>
      <c r="B88" s="99" t="s">
        <v>291</v>
      </c>
      <c r="C88" s="99" t="s">
        <v>412</v>
      </c>
      <c r="D88" s="99" t="s">
        <v>486</v>
      </c>
      <c r="E88" s="100" t="s">
        <v>283</v>
      </c>
      <c r="F88" s="100" t="s">
        <v>19</v>
      </c>
      <c r="G88" s="101">
        <v>45839</v>
      </c>
      <c r="H88" s="102">
        <v>46023</v>
      </c>
      <c r="I88" s="103">
        <v>130000</v>
      </c>
      <c r="J88" s="103">
        <v>0</v>
      </c>
      <c r="K88" s="103">
        <f t="shared" ref="K88" si="63">SUM(I88:J88)</f>
        <v>130000</v>
      </c>
      <c r="L88" s="103">
        <f>IF(I88&gt;=Datos!$D$14,(Datos!$D$14*Datos!$C$14),IF(I88&lt;=Datos!$D$14,(I88*Datos!$C$14)))</f>
        <v>3731</v>
      </c>
      <c r="M88" s="104">
        <f>IF((I88-L88-N88)&lt;=Datos!$G$7,"0",IF((I88-L88-N88)&lt;=Datos!$G$8,((I88-L88-N88)-Datos!$F$8)*Datos!$I$6,IF((I88-L88-N88)&lt;=Datos!$G$9,Datos!$I$8+((I88-L88-N88)-Datos!$F$9)*Datos!$J$6,IF((I88-L88-N88)&gt;=Datos!$F$10,(Datos!$I$8+Datos!$J$8)+((I88-L88-N88)-Datos!$F$10)*Datos!$K$6))))</f>
        <v>19162.110666666667</v>
      </c>
      <c r="N88" s="103">
        <f>IF(I88&gt;=Datos!$D$15,(Datos!$D$15*Datos!$C$15),IF(I88&lt;=Datos!$D$15,(I88*Datos!$C$15)))</f>
        <v>3952</v>
      </c>
      <c r="O88" s="103">
        <v>25</v>
      </c>
      <c r="P88" s="103">
        <f t="shared" ref="P88" si="64">SUM(L88:O88)</f>
        <v>26870.110666666667</v>
      </c>
      <c r="Q88" s="105">
        <f>+K88-P88</f>
        <v>103129.88933333333</v>
      </c>
    </row>
    <row r="89" spans="1:17" s="85" customFormat="1" ht="36.75" customHeight="1" x14ac:dyDescent="0.2">
      <c r="A89" s="303" t="s">
        <v>455</v>
      </c>
      <c r="B89" s="305"/>
      <c r="C89" s="116">
        <v>2</v>
      </c>
      <c r="D89" s="116"/>
      <c r="E89" s="190"/>
      <c r="F89" s="117"/>
      <c r="G89" s="118"/>
      <c r="H89" s="119"/>
      <c r="I89" s="120">
        <f>SUM(I87:I88)</f>
        <v>210000</v>
      </c>
      <c r="J89" s="120">
        <f t="shared" ref="J89:Q89" si="65">SUM(J87:J88)</f>
        <v>0</v>
      </c>
      <c r="K89" s="120">
        <f t="shared" si="65"/>
        <v>210000</v>
      </c>
      <c r="L89" s="120">
        <f t="shared" si="65"/>
        <v>6027</v>
      </c>
      <c r="M89" s="120">
        <f t="shared" si="65"/>
        <v>26134.110666666667</v>
      </c>
      <c r="N89" s="120">
        <f t="shared" si="65"/>
        <v>6384</v>
      </c>
      <c r="O89" s="120">
        <f t="shared" si="65"/>
        <v>1765.46</v>
      </c>
      <c r="P89" s="120">
        <f t="shared" si="65"/>
        <v>40310.570666666667</v>
      </c>
      <c r="Q89" s="120">
        <f t="shared" si="65"/>
        <v>169689.42933333333</v>
      </c>
    </row>
    <row r="90" spans="1:17" s="7" customFormat="1" ht="36.75" customHeight="1" x14ac:dyDescent="0.2">
      <c r="A90" s="303" t="s">
        <v>525</v>
      </c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6"/>
    </row>
    <row r="91" spans="1:17" s="7" customFormat="1" ht="38.25" customHeight="1" x14ac:dyDescent="0.2">
      <c r="A91" s="106">
        <v>41</v>
      </c>
      <c r="B91" s="122" t="s">
        <v>526</v>
      </c>
      <c r="C91" s="122" t="s">
        <v>412</v>
      </c>
      <c r="D91" s="127" t="s">
        <v>527</v>
      </c>
      <c r="E91" s="108" t="s">
        <v>283</v>
      </c>
      <c r="F91" s="108" t="s">
        <v>19</v>
      </c>
      <c r="G91" s="109">
        <v>45778</v>
      </c>
      <c r="H91" s="123">
        <v>45962</v>
      </c>
      <c r="I91" s="111">
        <v>120000</v>
      </c>
      <c r="J91" s="111">
        <v>0</v>
      </c>
      <c r="K91" s="111">
        <f>SUM(I91:J91)</f>
        <v>120000</v>
      </c>
      <c r="L91" s="111">
        <f>IF(I91&gt;=Datos!$D$14,(Datos!$D$14*Datos!$C$14),IF(I91&lt;=Datos!$D$14,(I91*Datos!$C$14)))</f>
        <v>3444</v>
      </c>
      <c r="M91" s="112">
        <v>15952.14</v>
      </c>
      <c r="N91" s="111">
        <f>IF(I91&gt;=Datos!$D$15,(Datos!$D$15*Datos!$C$15),IF(I91&lt;=Datos!$D$15,(I91*Datos!$C$15)))</f>
        <v>3648</v>
      </c>
      <c r="O91" s="111">
        <v>3455.92</v>
      </c>
      <c r="P91" s="111">
        <f>SUM(L91:O91)</f>
        <v>26500.059999999998</v>
      </c>
      <c r="Q91" s="113">
        <f>+K91-P91</f>
        <v>93499.94</v>
      </c>
    </row>
    <row r="92" spans="1:17" s="7" customFormat="1" ht="38.25" customHeight="1" x14ac:dyDescent="0.2">
      <c r="A92" s="106">
        <v>42</v>
      </c>
      <c r="B92" s="122" t="s">
        <v>993</v>
      </c>
      <c r="C92" s="122" t="s">
        <v>412</v>
      </c>
      <c r="D92" s="127" t="s">
        <v>994</v>
      </c>
      <c r="E92" s="108" t="s">
        <v>283</v>
      </c>
      <c r="F92" s="108" t="s">
        <v>19</v>
      </c>
      <c r="G92" s="109">
        <v>45809</v>
      </c>
      <c r="H92" s="123">
        <v>45992</v>
      </c>
      <c r="I92" s="111">
        <v>45000</v>
      </c>
      <c r="J92" s="111">
        <v>0</v>
      </c>
      <c r="K92" s="111">
        <f t="shared" ref="K92" si="66">SUM(I92:J92)</f>
        <v>45000</v>
      </c>
      <c r="L92" s="111">
        <f>IF(I92&gt;=Datos!$D$14,(Datos!$D$14*Datos!$C$14),IF(I92&lt;=Datos!$D$14,(I92*Datos!$C$14)))</f>
        <v>1291.5</v>
      </c>
      <c r="M92" s="112">
        <f>IF((I92-L92-N92)&lt;=Datos!$G$7,"0",IF((I92-L92-N92)&lt;=Datos!$G$8,((I92-L92-N92)-Datos!$F$8)*Datos!$I$6,IF((I92-L92-N92)&lt;=Datos!$G$9,Datos!$I$8+((I92-L92-N92)-Datos!$F$9)*Datos!$J$6,IF((I92-L92-N92)&gt;=Datos!$F$10,(Datos!$I$8+Datos!$J$8)+((I92-L92-N92)-Datos!$F$10)*Datos!$K$6))))</f>
        <v>1148.3234999999997</v>
      </c>
      <c r="N92" s="111">
        <f>IF(I92&gt;=Datos!$D$15,(Datos!$D$15*Datos!$C$15),IF(I92&lt;=Datos!$D$15,(I92*Datos!$C$15)))</f>
        <v>1368</v>
      </c>
      <c r="O92" s="111">
        <v>25</v>
      </c>
      <c r="P92" s="111">
        <f t="shared" ref="P92" si="67">SUM(L92:O92)</f>
        <v>3832.8234999999995</v>
      </c>
      <c r="Q92" s="113">
        <f>+K92-P92</f>
        <v>41167.176500000001</v>
      </c>
    </row>
    <row r="93" spans="1:17" s="85" customFormat="1" ht="36.75" customHeight="1" x14ac:dyDescent="0.2">
      <c r="A93" s="303" t="s">
        <v>455</v>
      </c>
      <c r="B93" s="305"/>
      <c r="C93" s="116">
        <v>2</v>
      </c>
      <c r="D93" s="307"/>
      <c r="E93" s="307"/>
      <c r="F93" s="307"/>
      <c r="G93" s="307"/>
      <c r="H93" s="308"/>
      <c r="I93" s="121">
        <f>SUM(I91:I92)</f>
        <v>165000</v>
      </c>
      <c r="J93" s="121">
        <f t="shared" ref="J93:Q93" si="68">SUM(J91:J92)</f>
        <v>0</v>
      </c>
      <c r="K93" s="121">
        <f t="shared" si="68"/>
        <v>165000</v>
      </c>
      <c r="L93" s="121">
        <f t="shared" si="68"/>
        <v>4735.5</v>
      </c>
      <c r="M93" s="121">
        <f t="shared" si="68"/>
        <v>17100.463499999998</v>
      </c>
      <c r="N93" s="121">
        <f t="shared" si="68"/>
        <v>5016</v>
      </c>
      <c r="O93" s="121">
        <f t="shared" si="68"/>
        <v>3480.92</v>
      </c>
      <c r="P93" s="121">
        <f t="shared" si="68"/>
        <v>30332.883499999996</v>
      </c>
      <c r="Q93" s="121">
        <f t="shared" si="68"/>
        <v>134667.1165</v>
      </c>
    </row>
    <row r="94" spans="1:17" s="7" customFormat="1" ht="36.75" customHeight="1" x14ac:dyDescent="0.2">
      <c r="A94" s="303" t="s">
        <v>1009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6"/>
    </row>
    <row r="95" spans="1:17" s="7" customFormat="1" ht="38.25" customHeight="1" x14ac:dyDescent="0.2">
      <c r="A95" s="106">
        <v>43</v>
      </c>
      <c r="B95" s="122" t="s">
        <v>1010</v>
      </c>
      <c r="C95" s="122" t="s">
        <v>412</v>
      </c>
      <c r="D95" s="127" t="s">
        <v>1011</v>
      </c>
      <c r="E95" s="108" t="s">
        <v>283</v>
      </c>
      <c r="F95" s="108" t="s">
        <v>281</v>
      </c>
      <c r="G95" s="109">
        <v>45839</v>
      </c>
      <c r="H95" s="123">
        <v>46023</v>
      </c>
      <c r="I95" s="111">
        <v>105000</v>
      </c>
      <c r="J95" s="111">
        <v>0</v>
      </c>
      <c r="K95" s="111">
        <f>SUM(I95:J95)</f>
        <v>105000</v>
      </c>
      <c r="L95" s="111">
        <f>IF(I95&gt;=Datos!$D$14,(Datos!$D$14*Datos!$C$14),IF(I95&lt;=Datos!$D$14,(I95*Datos!$C$14)))</f>
        <v>3013.5</v>
      </c>
      <c r="M95" s="112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13281.485666666667</v>
      </c>
      <c r="N95" s="111">
        <f>IF(I95&gt;=Datos!$D$15,(Datos!$D$15*Datos!$C$15),IF(I95&lt;=Datos!$D$15,(I95*Datos!$C$15)))</f>
        <v>3192</v>
      </c>
      <c r="O95" s="111">
        <v>25</v>
      </c>
      <c r="P95" s="111">
        <f>SUM(L95:O95)</f>
        <v>19511.985666666667</v>
      </c>
      <c r="Q95" s="113">
        <f>+K95-P95</f>
        <v>85488.014333333325</v>
      </c>
    </row>
    <row r="96" spans="1:17" s="85" customFormat="1" ht="36.75" customHeight="1" x14ac:dyDescent="0.2">
      <c r="A96" s="303" t="s">
        <v>455</v>
      </c>
      <c r="B96" s="305"/>
      <c r="C96" s="116">
        <v>1</v>
      </c>
      <c r="D96" s="307"/>
      <c r="E96" s="307"/>
      <c r="F96" s="307"/>
      <c r="G96" s="307"/>
      <c r="H96" s="308"/>
      <c r="I96" s="121">
        <f t="shared" ref="I96:Q96" si="69">SUM(I95:I95)</f>
        <v>105000</v>
      </c>
      <c r="J96" s="121">
        <f t="shared" si="69"/>
        <v>0</v>
      </c>
      <c r="K96" s="121">
        <f t="shared" si="69"/>
        <v>105000</v>
      </c>
      <c r="L96" s="121">
        <f t="shared" si="69"/>
        <v>3013.5</v>
      </c>
      <c r="M96" s="121">
        <f t="shared" si="69"/>
        <v>13281.485666666667</v>
      </c>
      <c r="N96" s="121">
        <f t="shared" si="69"/>
        <v>3192</v>
      </c>
      <c r="O96" s="121">
        <f t="shared" si="69"/>
        <v>25</v>
      </c>
      <c r="P96" s="121">
        <f t="shared" si="69"/>
        <v>19511.985666666667</v>
      </c>
      <c r="Q96" s="121">
        <f t="shared" si="69"/>
        <v>85488.014333333325</v>
      </c>
    </row>
    <row r="97" spans="1:17" s="7" customFormat="1" ht="36.75" customHeight="1" x14ac:dyDescent="0.2">
      <c r="A97" s="303" t="s">
        <v>476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6"/>
    </row>
    <row r="98" spans="1:17" s="7" customFormat="1" ht="38.25" customHeight="1" x14ac:dyDescent="0.2">
      <c r="A98" s="106">
        <v>44</v>
      </c>
      <c r="B98" s="131" t="s">
        <v>854</v>
      </c>
      <c r="C98" s="132" t="s">
        <v>412</v>
      </c>
      <c r="D98" s="131" t="s">
        <v>855</v>
      </c>
      <c r="E98" s="115" t="s">
        <v>283</v>
      </c>
      <c r="F98" s="115" t="s">
        <v>281</v>
      </c>
      <c r="G98" s="125">
        <v>45748</v>
      </c>
      <c r="H98" s="124">
        <v>45931</v>
      </c>
      <c r="I98" s="128">
        <v>70000</v>
      </c>
      <c r="J98" s="111">
        <v>0</v>
      </c>
      <c r="K98" s="111">
        <f>SUM(I98:J98)</f>
        <v>70000</v>
      </c>
      <c r="L98" s="111">
        <f>IF(I98&gt;=Datos!$D$14,(Datos!$D$14*Datos!$C$14),IF(I98&lt;=Datos!$D$14,(I98*Datos!$C$14)))</f>
        <v>2009</v>
      </c>
      <c r="M98" s="112">
        <f>IF((I98-L98-N98)&lt;=Datos!$G$7,"0",IF((I98-L98-N98)&lt;=Datos!$G$8,((I98-L98-N98)-Datos!$F$8)*Datos!$I$6,IF((I98-L98-N98)&lt;=Datos!$G$9,Datos!$I$8+((I98-L98-N98)-Datos!$F$9)*Datos!$J$6,IF((I98-L98-N98)&gt;=Datos!$F$10,(Datos!$I$8+Datos!$J$8)+((I98-L98-N98)-Datos!$F$10)*Datos!$K$6))))</f>
        <v>5368.4756666666663</v>
      </c>
      <c r="N98" s="111">
        <f>IF(I98&gt;=Datos!$D$15,(Datos!$D$15*Datos!$C$15),IF(I98&lt;=Datos!$D$15,(I98*Datos!$C$15)))</f>
        <v>2128</v>
      </c>
      <c r="O98" s="111">
        <v>25</v>
      </c>
      <c r="P98" s="111">
        <f t="shared" ref="P98:P100" si="70">SUM(L98:O98)</f>
        <v>9530.4756666666653</v>
      </c>
      <c r="Q98" s="111">
        <f t="shared" ref="Q98:Q102" si="71">+K98-P98</f>
        <v>60469.524333333335</v>
      </c>
    </row>
    <row r="99" spans="1:17" s="7" customFormat="1" ht="38.25" customHeight="1" x14ac:dyDescent="0.2">
      <c r="A99" s="106">
        <v>45</v>
      </c>
      <c r="B99" s="131" t="s">
        <v>1012</v>
      </c>
      <c r="C99" s="132" t="s">
        <v>412</v>
      </c>
      <c r="D99" s="131" t="s">
        <v>855</v>
      </c>
      <c r="E99" s="115" t="s">
        <v>283</v>
      </c>
      <c r="F99" s="115" t="s">
        <v>281</v>
      </c>
      <c r="G99" s="125">
        <v>45839</v>
      </c>
      <c r="H99" s="124">
        <v>46023</v>
      </c>
      <c r="I99" s="128">
        <v>70000</v>
      </c>
      <c r="J99" s="111">
        <v>0</v>
      </c>
      <c r="K99" s="111">
        <f>SUM(I99:J99)</f>
        <v>70000</v>
      </c>
      <c r="L99" s="111">
        <f>IF(I99&gt;=Datos!$D$14,(Datos!$D$14*Datos!$C$14),IF(I99&lt;=Datos!$D$14,(I99*Datos!$C$14)))</f>
        <v>2009</v>
      </c>
      <c r="M99" s="112">
        <f>IF((I99-L99-N99)&lt;=Datos!$G$7,"0",IF((I99-L99-N99)&lt;=Datos!$G$8,((I99-L99-N99)-Datos!$F$8)*Datos!$I$6,IF((I99-L99-N99)&lt;=Datos!$G$9,Datos!$I$8+((I99-L99-N99)-Datos!$F$9)*Datos!$J$6,IF((I99-L99-N99)&gt;=Datos!$F$10,(Datos!$I$8+Datos!$J$8)+((I99-L99-N99)-Datos!$F$10)*Datos!$K$6))))</f>
        <v>5368.4756666666663</v>
      </c>
      <c r="N99" s="111">
        <f>IF(I99&gt;=Datos!$D$15,(Datos!$D$15*Datos!$C$15),IF(I99&lt;=Datos!$D$15,(I99*Datos!$C$15)))</f>
        <v>2128</v>
      </c>
      <c r="O99" s="111">
        <v>25</v>
      </c>
      <c r="P99" s="111">
        <f t="shared" ref="P99" si="72">SUM(L99:O99)</f>
        <v>9530.4756666666653</v>
      </c>
      <c r="Q99" s="111">
        <f t="shared" ref="Q99" si="73">+K99-P99</f>
        <v>60469.524333333335</v>
      </c>
    </row>
    <row r="100" spans="1:17" s="7" customFormat="1" ht="38.25" customHeight="1" x14ac:dyDescent="0.2">
      <c r="A100" s="106">
        <v>46</v>
      </c>
      <c r="B100" s="155" t="s">
        <v>471</v>
      </c>
      <c r="C100" s="114" t="s">
        <v>412</v>
      </c>
      <c r="D100" s="114" t="s">
        <v>487</v>
      </c>
      <c r="E100" s="115" t="s">
        <v>283</v>
      </c>
      <c r="F100" s="115" t="s">
        <v>281</v>
      </c>
      <c r="G100" s="109">
        <v>45717</v>
      </c>
      <c r="H100" s="109">
        <v>45901</v>
      </c>
      <c r="I100" s="111">
        <v>60000</v>
      </c>
      <c r="J100" s="111">
        <v>0</v>
      </c>
      <c r="K100" s="111">
        <f t="shared" ref="K100:K102" si="74">SUM(I100:J100)</f>
        <v>60000</v>
      </c>
      <c r="L100" s="111">
        <f>IF(I100&gt;=Datos!$D$14,(Datos!$D$14*Datos!$C$14),IF(I100&lt;=Datos!$D$14,(I100*Datos!$C$14)))</f>
        <v>1722</v>
      </c>
      <c r="M100" s="112">
        <f>IF((I100-L100-N100)&lt;=Datos!$G$7,"0",IF((I100-L100-N100)&lt;=Datos!$G$8,((I100-L100-N100)-Datos!$F$8)*Datos!$I$6,IF((I100-L100-N100)&lt;=Datos!$G$9,Datos!$I$8+((I100-L100-N100)-Datos!$F$9)*Datos!$J$6,IF((I100-L100-N100)&gt;=Datos!$F$10,(Datos!$I$8+Datos!$J$8)+((I100-L100-N100)-Datos!$F$10)*Datos!$K$6))))</f>
        <v>3486.6756666666661</v>
      </c>
      <c r="N100" s="111">
        <f>IF(I100&gt;=Datos!$D$15,(Datos!$D$15*Datos!$C$15),IF(I100&lt;=Datos!$D$15,(I100*Datos!$C$15)))</f>
        <v>1824</v>
      </c>
      <c r="O100" s="111">
        <v>25</v>
      </c>
      <c r="P100" s="111">
        <f t="shared" si="70"/>
        <v>7057.6756666666661</v>
      </c>
      <c r="Q100" s="113">
        <f t="shared" si="71"/>
        <v>52942.324333333338</v>
      </c>
    </row>
    <row r="101" spans="1:17" s="7" customFormat="1" ht="38.25" customHeight="1" x14ac:dyDescent="0.2">
      <c r="A101" s="106">
        <v>47</v>
      </c>
      <c r="B101" s="131" t="s">
        <v>346</v>
      </c>
      <c r="C101" s="132" t="s">
        <v>412</v>
      </c>
      <c r="D101" s="131" t="s">
        <v>345</v>
      </c>
      <c r="E101" s="115" t="s">
        <v>283</v>
      </c>
      <c r="F101" s="115" t="s">
        <v>281</v>
      </c>
      <c r="G101" s="125">
        <v>45748</v>
      </c>
      <c r="H101" s="124">
        <v>45931</v>
      </c>
      <c r="I101" s="128">
        <v>75000</v>
      </c>
      <c r="J101" s="111">
        <v>0</v>
      </c>
      <c r="K101" s="111">
        <f>SUM(I101:J101)</f>
        <v>75000</v>
      </c>
      <c r="L101" s="111">
        <f>IF(I101&gt;=Datos!$D$14,(Datos!$D$14*Datos!$C$14),IF(I101&lt;=Datos!$D$14,(I101*Datos!$C$14)))</f>
        <v>2152.5</v>
      </c>
      <c r="M101" s="112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6309.3756666666668</v>
      </c>
      <c r="N101" s="111">
        <f>IF(I101&gt;=Datos!$D$15,(Datos!$D$15*Datos!$C$15),IF(I101&lt;=Datos!$D$15,(I101*Datos!$C$15)))</f>
        <v>2280</v>
      </c>
      <c r="O101" s="111">
        <v>25</v>
      </c>
      <c r="P101" s="111">
        <f t="shared" ref="P101" si="75">SUM(L101:O101)</f>
        <v>10766.875666666667</v>
      </c>
      <c r="Q101" s="111">
        <f t="shared" ref="Q101" si="76">+K101-P101</f>
        <v>64233.124333333333</v>
      </c>
    </row>
    <row r="102" spans="1:17" s="7" customFormat="1" ht="38.25" customHeight="1" x14ac:dyDescent="0.2">
      <c r="A102" s="106">
        <v>48</v>
      </c>
      <c r="B102" s="122" t="s">
        <v>414</v>
      </c>
      <c r="C102" s="122" t="s">
        <v>285</v>
      </c>
      <c r="D102" s="122" t="s">
        <v>418</v>
      </c>
      <c r="E102" s="108" t="s">
        <v>283</v>
      </c>
      <c r="F102" s="108" t="s">
        <v>19</v>
      </c>
      <c r="G102" s="109">
        <v>45839</v>
      </c>
      <c r="H102" s="123">
        <v>46023</v>
      </c>
      <c r="I102" s="111">
        <v>60000</v>
      </c>
      <c r="J102" s="111">
        <v>0</v>
      </c>
      <c r="K102" s="111">
        <f t="shared" si="74"/>
        <v>60000</v>
      </c>
      <c r="L102" s="111">
        <f>IF(I102&gt;=Datos!$D$14,(Datos!$D$14*Datos!$C$14),IF(I102&lt;=Datos!$D$14,(I102*Datos!$C$14)))</f>
        <v>1722</v>
      </c>
      <c r="M102" s="112">
        <f>IF((I102-L102-N102)&lt;=Datos!$G$7,"0",IF((I102-L102-N102)&lt;=Datos!$G$8,((I102-L102-N102)-Datos!$F$8)*Datos!$I$6,IF((I102-L102-N102)&lt;=Datos!$G$9,Datos!$I$8+((I102-L102-N102)-Datos!$F$9)*Datos!$J$6,IF((I102-L102-N102)&gt;=Datos!$F$10,(Datos!$I$8+Datos!$J$8)+((I102-L102-N102)-Datos!$F$10)*Datos!$K$6))))</f>
        <v>3486.6756666666661</v>
      </c>
      <c r="N102" s="111">
        <f>IF(I102&gt;=Datos!$D$15,(Datos!$D$15*Datos!$C$15),IF(I102&lt;=Datos!$D$15,(I102*Datos!$C$15)))</f>
        <v>1824</v>
      </c>
      <c r="O102" s="111">
        <v>25</v>
      </c>
      <c r="P102" s="111">
        <f>SUM(L102:O102)</f>
        <v>7057.6756666666661</v>
      </c>
      <c r="Q102" s="113">
        <f t="shared" si="71"/>
        <v>52942.324333333338</v>
      </c>
    </row>
    <row r="103" spans="1:17" s="85" customFormat="1" ht="36.75" customHeight="1" x14ac:dyDescent="0.2">
      <c r="A103" s="303" t="s">
        <v>455</v>
      </c>
      <c r="B103" s="305"/>
      <c r="C103" s="116">
        <v>5</v>
      </c>
      <c r="D103" s="116"/>
      <c r="E103" s="190"/>
      <c r="F103" s="117"/>
      <c r="G103" s="118"/>
      <c r="H103" s="119"/>
      <c r="I103" s="120">
        <f>SUM(I98:I102)</f>
        <v>335000</v>
      </c>
      <c r="J103" s="120">
        <f t="shared" ref="J103:Q103" si="77">SUM(J98:J102)</f>
        <v>0</v>
      </c>
      <c r="K103" s="120">
        <f t="shared" si="77"/>
        <v>335000</v>
      </c>
      <c r="L103" s="120">
        <f t="shared" si="77"/>
        <v>9614.5</v>
      </c>
      <c r="M103" s="120">
        <f t="shared" si="77"/>
        <v>24019.678333333333</v>
      </c>
      <c r="N103" s="120">
        <f t="shared" si="77"/>
        <v>10184</v>
      </c>
      <c r="O103" s="120">
        <f t="shared" si="77"/>
        <v>125</v>
      </c>
      <c r="P103" s="120">
        <f t="shared" si="77"/>
        <v>43943.17833333333</v>
      </c>
      <c r="Q103" s="120">
        <f t="shared" si="77"/>
        <v>291056.82166666671</v>
      </c>
    </row>
    <row r="104" spans="1:17" s="7" customFormat="1" ht="36.75" customHeight="1" x14ac:dyDescent="0.2">
      <c r="A104" s="303" t="s">
        <v>995</v>
      </c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6"/>
    </row>
    <row r="105" spans="1:17" ht="38.25" customHeight="1" x14ac:dyDescent="0.2">
      <c r="A105" s="186">
        <v>49</v>
      </c>
      <c r="B105" s="136" t="s">
        <v>856</v>
      </c>
      <c r="C105" s="137" t="s">
        <v>284</v>
      </c>
      <c r="D105" s="127" t="s">
        <v>547</v>
      </c>
      <c r="E105" s="100" t="s">
        <v>283</v>
      </c>
      <c r="F105" s="100" t="s">
        <v>19</v>
      </c>
      <c r="G105" s="102">
        <v>45748</v>
      </c>
      <c r="H105" s="101">
        <v>45931</v>
      </c>
      <c r="I105" s="138">
        <v>60000</v>
      </c>
      <c r="J105" s="103">
        <v>0</v>
      </c>
      <c r="K105" s="103">
        <f t="shared" ref="K105:K106" si="78">SUM(I105:J105)</f>
        <v>60000</v>
      </c>
      <c r="L105" s="103">
        <f>IF(I105&gt;=Datos!$D$14,(Datos!$D$14*Datos!$C$14),IF(I105&lt;=Datos!$D$14,(I105*Datos!$C$14)))</f>
        <v>1722</v>
      </c>
      <c r="M105" s="104">
        <f>IF((I105-L105-N105)&lt;=Datos!$G$7,"0",IF((I105-L105-N105)&lt;=Datos!$G$8,((I105-L105-N105)-Datos!$F$8)*Datos!$I$6,IF((I105-L105-N105)&lt;=Datos!$G$9,Datos!$I$8+((I105-L105-N105)-Datos!$F$9)*Datos!$J$6,IF((I105-L105-N105)&gt;=Datos!$F$10,(Datos!$I$8+Datos!$J$8)+((I105-L105-N105)-Datos!$F$10)*Datos!$K$6))))</f>
        <v>3486.6756666666661</v>
      </c>
      <c r="N105" s="103">
        <f>IF(I105&gt;=Datos!$D$15,(Datos!$D$15*Datos!$C$15),IF(I105&lt;=Datos!$D$15,(I105*Datos!$C$15)))</f>
        <v>1824</v>
      </c>
      <c r="O105" s="103">
        <v>25</v>
      </c>
      <c r="P105" s="103">
        <f>SUM(L105:O105)</f>
        <v>7057.6756666666661</v>
      </c>
      <c r="Q105" s="113">
        <f>+K105-P105</f>
        <v>52942.324333333338</v>
      </c>
    </row>
    <row r="106" spans="1:17" ht="38.25" customHeight="1" x14ac:dyDescent="0.2">
      <c r="A106" s="186">
        <v>50</v>
      </c>
      <c r="B106" s="136" t="s">
        <v>546</v>
      </c>
      <c r="C106" s="137" t="s">
        <v>332</v>
      </c>
      <c r="D106" s="127" t="s">
        <v>547</v>
      </c>
      <c r="E106" s="100" t="s">
        <v>283</v>
      </c>
      <c r="F106" s="100" t="s">
        <v>19</v>
      </c>
      <c r="G106" s="102">
        <v>45717</v>
      </c>
      <c r="H106" s="101">
        <v>45901</v>
      </c>
      <c r="I106" s="138">
        <v>60000</v>
      </c>
      <c r="J106" s="103">
        <v>0</v>
      </c>
      <c r="K106" s="103">
        <f t="shared" si="78"/>
        <v>60000</v>
      </c>
      <c r="L106" s="103">
        <f>IF(I106&gt;=Datos!$D$14,(Datos!$D$14*Datos!$C$14),IF(I106&lt;=Datos!$D$14,(I106*Datos!$C$14)))</f>
        <v>1722</v>
      </c>
      <c r="M106" s="104">
        <f>IF((I106-L106-N106)&lt;=Datos!$G$7,"0",IF((I106-L106-N106)&lt;=Datos!$G$8,((I106-L106-N106)-Datos!$F$8)*Datos!$I$6,IF((I106-L106-N106)&lt;=Datos!$G$9,Datos!$I$8+((I106-L106-N106)-Datos!$F$9)*Datos!$J$6,IF((I106-L106-N106)&gt;=Datos!$F$10,(Datos!$I$8+Datos!$J$8)+((I106-L106-N106)-Datos!$F$10)*Datos!$K$6))))</f>
        <v>3486.6756666666661</v>
      </c>
      <c r="N106" s="103">
        <f>IF(I106&gt;=Datos!$D$15,(Datos!$D$15*Datos!$C$15),IF(I106&lt;=Datos!$D$15,(I106*Datos!$C$15)))</f>
        <v>1824</v>
      </c>
      <c r="O106" s="103">
        <v>25</v>
      </c>
      <c r="P106" s="103">
        <f>SUM(L106:O106)</f>
        <v>7057.6756666666661</v>
      </c>
      <c r="Q106" s="113">
        <f>+K106-P106</f>
        <v>52942.324333333338</v>
      </c>
    </row>
    <row r="107" spans="1:17" ht="38.25" customHeight="1" x14ac:dyDescent="0.2">
      <c r="A107" s="186">
        <v>51</v>
      </c>
      <c r="B107" s="136" t="s">
        <v>28</v>
      </c>
      <c r="C107" s="137" t="s">
        <v>412</v>
      </c>
      <c r="D107" s="127" t="s">
        <v>485</v>
      </c>
      <c r="E107" s="100" t="s">
        <v>283</v>
      </c>
      <c r="F107" s="100" t="s">
        <v>19</v>
      </c>
      <c r="G107" s="102">
        <v>45717</v>
      </c>
      <c r="H107" s="101">
        <v>45901</v>
      </c>
      <c r="I107" s="138">
        <v>130000</v>
      </c>
      <c r="J107" s="103">
        <v>0</v>
      </c>
      <c r="K107" s="103">
        <f t="shared" ref="K107" si="79">SUM(I107:J107)</f>
        <v>130000</v>
      </c>
      <c r="L107" s="103">
        <f>IF(I107&gt;=Datos!$D$14,(Datos!$D$14*Datos!$C$14),IF(I107&lt;=Datos!$D$14,(I107*Datos!$C$14)))</f>
        <v>3731</v>
      </c>
      <c r="M107" s="104">
        <f>IF((I107-L107-N107)&lt;=Datos!$G$7,"0",IF((I107-L107-N107)&lt;=Datos!$G$8,((I107-L107-N107)-Datos!$F$8)*Datos!$I$6,IF((I107-L107-N107)&lt;=Datos!$G$9,Datos!$I$8+((I107-L107-N107)-Datos!$F$9)*Datos!$J$6,IF((I107-L107-N107)&gt;=Datos!$F$10,(Datos!$I$8+Datos!$J$8)+((I107-L107-N107)-Datos!$F$10)*Datos!$K$6))))</f>
        <v>19162.110666666667</v>
      </c>
      <c r="N107" s="103">
        <f>IF(I107&gt;=Datos!$D$15,(Datos!$D$15*Datos!$C$15),IF(I107&lt;=Datos!$D$15,(I107*Datos!$C$15)))</f>
        <v>3952</v>
      </c>
      <c r="O107" s="103">
        <v>25</v>
      </c>
      <c r="P107" s="103">
        <f>SUM(L107:O107)</f>
        <v>26870.110666666667</v>
      </c>
      <c r="Q107" s="113">
        <f>+K107-P107</f>
        <v>103129.88933333333</v>
      </c>
    </row>
    <row r="108" spans="1:17" s="85" customFormat="1" ht="36.75" customHeight="1" x14ac:dyDescent="0.2">
      <c r="A108" s="303" t="s">
        <v>455</v>
      </c>
      <c r="B108" s="305"/>
      <c r="C108" s="116">
        <v>3</v>
      </c>
      <c r="D108" s="307"/>
      <c r="E108" s="307"/>
      <c r="F108" s="307"/>
      <c r="G108" s="307"/>
      <c r="H108" s="308"/>
      <c r="I108" s="121">
        <f>SUM(I105:I107)</f>
        <v>250000</v>
      </c>
      <c r="J108" s="121">
        <f t="shared" ref="J108:Q108" si="80">SUM(J105:J107)</f>
        <v>0</v>
      </c>
      <c r="K108" s="121">
        <f t="shared" si="80"/>
        <v>250000</v>
      </c>
      <c r="L108" s="121">
        <f t="shared" si="80"/>
        <v>7175</v>
      </c>
      <c r="M108" s="121">
        <f t="shared" si="80"/>
        <v>26135.462</v>
      </c>
      <c r="N108" s="121">
        <f t="shared" si="80"/>
        <v>7600</v>
      </c>
      <c r="O108" s="121">
        <f t="shared" si="80"/>
        <v>75</v>
      </c>
      <c r="P108" s="121">
        <f t="shared" si="80"/>
        <v>40985.462</v>
      </c>
      <c r="Q108" s="121">
        <f t="shared" si="80"/>
        <v>209014.538</v>
      </c>
    </row>
    <row r="109" spans="1:17" s="7" customFormat="1" ht="36.75" customHeight="1" x14ac:dyDescent="0.2">
      <c r="A109" s="303" t="s">
        <v>459</v>
      </c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6"/>
    </row>
    <row r="110" spans="1:17" s="7" customFormat="1" ht="38.25" customHeight="1" x14ac:dyDescent="0.2">
      <c r="A110" s="106">
        <v>52</v>
      </c>
      <c r="B110" s="122" t="s">
        <v>292</v>
      </c>
      <c r="C110" s="122" t="s">
        <v>412</v>
      </c>
      <c r="D110" s="127" t="s">
        <v>423</v>
      </c>
      <c r="E110" s="108" t="s">
        <v>283</v>
      </c>
      <c r="F110" s="108" t="s">
        <v>19</v>
      </c>
      <c r="G110" s="109">
        <v>45809</v>
      </c>
      <c r="H110" s="123">
        <v>45992</v>
      </c>
      <c r="I110" s="111">
        <v>130000</v>
      </c>
      <c r="J110" s="111">
        <v>0</v>
      </c>
      <c r="K110" s="111">
        <f>SUM(I110:J110)</f>
        <v>130000</v>
      </c>
      <c r="L110" s="111">
        <f>IF(I110&gt;=Datos!$D$14,(Datos!$D$14*Datos!$C$14),IF(I110&lt;=Datos!$D$14,(I110*Datos!$C$14)))</f>
        <v>3731</v>
      </c>
      <c r="M110" s="112">
        <f>IF((I110-L110-N110)&lt;=Datos!$G$7,"0",IF((I110-L110-N110)&lt;=Datos!$G$8,((I110-L110-N110)-Datos!$F$8)*Datos!$I$6,IF((I110-L110-N110)&lt;=Datos!$G$9,Datos!$I$8+((I110-L110-N110)-Datos!$F$9)*Datos!$J$6,IF((I110-L110-N110)&gt;=Datos!$F$10,(Datos!$I$8+Datos!$J$8)+((I110-L110-N110)-Datos!$F$10)*Datos!$K$6))))</f>
        <v>19162.110666666667</v>
      </c>
      <c r="N110" s="111">
        <f>IF(I110&gt;=Datos!$D$15,(Datos!$D$15*Datos!$C$15),IF(I110&lt;=Datos!$D$15,(I110*Datos!$C$15)))</f>
        <v>3952</v>
      </c>
      <c r="O110" s="111">
        <v>25</v>
      </c>
      <c r="P110" s="111">
        <f>SUM(L110:O110)</f>
        <v>26870.110666666667</v>
      </c>
      <c r="Q110" s="113">
        <f>+K110-P110</f>
        <v>103129.88933333333</v>
      </c>
    </row>
    <row r="111" spans="1:17" s="85" customFormat="1" ht="36.75" customHeight="1" x14ac:dyDescent="0.2">
      <c r="A111" s="303" t="s">
        <v>455</v>
      </c>
      <c r="B111" s="305"/>
      <c r="C111" s="116">
        <v>1</v>
      </c>
      <c r="D111" s="307"/>
      <c r="E111" s="307"/>
      <c r="F111" s="307"/>
      <c r="G111" s="307"/>
      <c r="H111" s="308"/>
      <c r="I111" s="121">
        <f>SUM(I110)</f>
        <v>130000</v>
      </c>
      <c r="J111" s="121">
        <f t="shared" ref="J111:Q111" si="81">SUM(J110)</f>
        <v>0</v>
      </c>
      <c r="K111" s="121">
        <f t="shared" si="81"/>
        <v>130000</v>
      </c>
      <c r="L111" s="121">
        <f t="shared" si="81"/>
        <v>3731</v>
      </c>
      <c r="M111" s="121">
        <f t="shared" si="81"/>
        <v>19162.110666666667</v>
      </c>
      <c r="N111" s="121">
        <f t="shared" si="81"/>
        <v>3952</v>
      </c>
      <c r="O111" s="121">
        <f t="shared" si="81"/>
        <v>25</v>
      </c>
      <c r="P111" s="121">
        <f t="shared" si="81"/>
        <v>26870.110666666667</v>
      </c>
      <c r="Q111" s="121">
        <f t="shared" si="81"/>
        <v>103129.88933333333</v>
      </c>
    </row>
    <row r="112" spans="1:17" s="7" customFormat="1" ht="36.75" customHeight="1" x14ac:dyDescent="0.2">
      <c r="A112" s="303" t="s">
        <v>785</v>
      </c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6"/>
    </row>
    <row r="113" spans="1:17" s="7" customFormat="1" ht="38.25" customHeight="1" x14ac:dyDescent="0.2">
      <c r="A113" s="106">
        <v>53</v>
      </c>
      <c r="B113" s="133" t="s">
        <v>704</v>
      </c>
      <c r="C113" s="133" t="s">
        <v>412</v>
      </c>
      <c r="D113" s="133" t="s">
        <v>269</v>
      </c>
      <c r="E113" s="115" t="s">
        <v>283</v>
      </c>
      <c r="F113" s="115" t="s">
        <v>19</v>
      </c>
      <c r="G113" s="124">
        <v>45778</v>
      </c>
      <c r="H113" s="125">
        <v>45962</v>
      </c>
      <c r="I113" s="111">
        <v>65000</v>
      </c>
      <c r="J113" s="111">
        <v>0</v>
      </c>
      <c r="K113" s="111">
        <f>SUM(I113:J113)</f>
        <v>65000</v>
      </c>
      <c r="L113" s="111">
        <f>IF(I113&gt;=Datos!$D$14,(Datos!$D$14*Datos!$C$14),IF(I113&lt;=Datos!$D$14,(I113*Datos!$C$14)))</f>
        <v>1865.5</v>
      </c>
      <c r="M113" s="112">
        <v>4084.48</v>
      </c>
      <c r="N113" s="111">
        <f>IF(I113&gt;=Datos!$D$15,(Datos!$D$15*Datos!$C$15),IF(I113&lt;=Datos!$D$15,(I113*Datos!$C$15)))</f>
        <v>1976</v>
      </c>
      <c r="O113" s="111">
        <v>13740.46</v>
      </c>
      <c r="P113" s="111">
        <f>+L113+M113+N113+O113</f>
        <v>21666.44</v>
      </c>
      <c r="Q113" s="113">
        <f>+I113-P113</f>
        <v>43333.56</v>
      </c>
    </row>
    <row r="114" spans="1:17" s="85" customFormat="1" ht="36.75" customHeight="1" x14ac:dyDescent="0.2">
      <c r="A114" s="303" t="s">
        <v>455</v>
      </c>
      <c r="B114" s="305"/>
      <c r="C114" s="116">
        <v>1</v>
      </c>
      <c r="D114" s="307"/>
      <c r="E114" s="307"/>
      <c r="F114" s="307"/>
      <c r="G114" s="307"/>
      <c r="H114" s="308"/>
      <c r="I114" s="185">
        <f>SUM(I113)</f>
        <v>65000</v>
      </c>
      <c r="J114" s="185">
        <f t="shared" ref="J114:Q114" si="82">SUM(J113)</f>
        <v>0</v>
      </c>
      <c r="K114" s="185">
        <f t="shared" si="82"/>
        <v>65000</v>
      </c>
      <c r="L114" s="185">
        <f t="shared" si="82"/>
        <v>1865.5</v>
      </c>
      <c r="M114" s="185">
        <f t="shared" si="82"/>
        <v>4084.48</v>
      </c>
      <c r="N114" s="185">
        <f t="shared" si="82"/>
        <v>1976</v>
      </c>
      <c r="O114" s="185">
        <f t="shared" si="82"/>
        <v>13740.46</v>
      </c>
      <c r="P114" s="185">
        <f t="shared" si="82"/>
        <v>21666.44</v>
      </c>
      <c r="Q114" s="185">
        <f t="shared" si="82"/>
        <v>43333.56</v>
      </c>
    </row>
    <row r="115" spans="1:17" s="7" customFormat="1" ht="36.75" customHeight="1" x14ac:dyDescent="0.2">
      <c r="A115" s="303" t="s">
        <v>650</v>
      </c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6"/>
    </row>
    <row r="116" spans="1:17" s="7" customFormat="1" ht="38.25" customHeight="1" x14ac:dyDescent="0.2">
      <c r="A116" s="106">
        <v>54</v>
      </c>
      <c r="B116" s="122" t="s">
        <v>857</v>
      </c>
      <c r="C116" s="122" t="s">
        <v>332</v>
      </c>
      <c r="D116" s="122" t="s">
        <v>858</v>
      </c>
      <c r="E116" s="108" t="s">
        <v>283</v>
      </c>
      <c r="F116" s="115" t="s">
        <v>19</v>
      </c>
      <c r="G116" s="124">
        <v>45748</v>
      </c>
      <c r="H116" s="125">
        <v>45931</v>
      </c>
      <c r="I116" s="111">
        <v>45000</v>
      </c>
      <c r="J116" s="111">
        <v>0</v>
      </c>
      <c r="K116" s="111">
        <f>SUM(I116:J116)</f>
        <v>45000</v>
      </c>
      <c r="L116" s="111">
        <f>IF(I116&gt;=Datos!$D$14,(Datos!$D$14*Datos!$C$14),IF(I116&lt;=Datos!$D$14,(I116*Datos!$C$14)))</f>
        <v>1291.5</v>
      </c>
      <c r="M116" s="112">
        <f>IF((I116-L116-N116)&lt;=Datos!$G$7,"0",IF((I116-L116-N116)&lt;=Datos!$G$8,((I116-L116-N116)-Datos!$F$8)*Datos!$I$6,IF((I116-L116-N116)&lt;=Datos!$G$9,Datos!$I$8+((I116-L116-N116)-Datos!$F$9)*Datos!$J$6,IF((I116-L116-N116)&gt;=Datos!$F$10,(Datos!$I$8+Datos!$J$8)+((I116-L116-N116)-Datos!$F$10)*Datos!$K$6))))</f>
        <v>1148.3234999999997</v>
      </c>
      <c r="N116" s="111">
        <f>IF(I116&gt;=Datos!$D$15,(Datos!$D$15*Datos!$C$15),IF(I116&lt;=Datos!$D$15,(I116*Datos!$C$15)))</f>
        <v>1368</v>
      </c>
      <c r="O116" s="111">
        <v>25</v>
      </c>
      <c r="P116" s="111">
        <f>+L116+M116+N116+O116</f>
        <v>3832.8234999999995</v>
      </c>
      <c r="Q116" s="113">
        <f>+I116-P116</f>
        <v>41167.176500000001</v>
      </c>
    </row>
    <row r="117" spans="1:17" s="7" customFormat="1" ht="38.25" customHeight="1" x14ac:dyDescent="0.2">
      <c r="A117" s="106">
        <v>55</v>
      </c>
      <c r="B117" s="122" t="s">
        <v>415</v>
      </c>
      <c r="C117" s="122" t="s">
        <v>412</v>
      </c>
      <c r="D117" s="122" t="s">
        <v>651</v>
      </c>
      <c r="E117" s="108" t="s">
        <v>283</v>
      </c>
      <c r="F117" s="115" t="s">
        <v>19</v>
      </c>
      <c r="G117" s="124">
        <v>45839</v>
      </c>
      <c r="H117" s="125">
        <v>46023</v>
      </c>
      <c r="I117" s="111">
        <v>120000</v>
      </c>
      <c r="J117" s="111">
        <v>0</v>
      </c>
      <c r="K117" s="111">
        <f>SUM(I117:J117)</f>
        <v>120000</v>
      </c>
      <c r="L117" s="111">
        <f>IF(I117&gt;=Datos!$D$14,(Datos!$D$14*Datos!$C$14),IF(I117&lt;=Datos!$D$14,(I117*Datos!$C$14)))</f>
        <v>3444</v>
      </c>
      <c r="M117" s="112">
        <f>IF((I117-L117-N117)&lt;=Datos!$G$7,"0",IF((I117-L117-N117)&lt;=Datos!$G$8,((I117-L117-N117)-Datos!$F$8)*Datos!$I$6,IF((I117-L117-N117)&lt;=Datos!$G$9,Datos!$I$8+((I117-L117-N117)-Datos!$F$9)*Datos!$J$6,IF((I117-L117-N117)&gt;=Datos!$F$10,(Datos!$I$8+Datos!$J$8)+((I117-L117-N117)-Datos!$F$10)*Datos!$K$6))))</f>
        <v>16809.860666666667</v>
      </c>
      <c r="N117" s="111">
        <f>IF(I117&gt;=Datos!$D$15,(Datos!$D$15*Datos!$C$15),IF(I117&lt;=Datos!$D$15,(I117*Datos!$C$15)))</f>
        <v>3648</v>
      </c>
      <c r="O117" s="111">
        <v>5025</v>
      </c>
      <c r="P117" s="111">
        <f>+L117+M117+N117+O117</f>
        <v>28926.860666666667</v>
      </c>
      <c r="Q117" s="113">
        <f>+I117-P117</f>
        <v>91073.139333333325</v>
      </c>
    </row>
    <row r="118" spans="1:17" s="85" customFormat="1" ht="36.75" customHeight="1" x14ac:dyDescent="0.2">
      <c r="A118" s="303" t="s">
        <v>455</v>
      </c>
      <c r="B118" s="305"/>
      <c r="C118" s="116">
        <v>2</v>
      </c>
      <c r="D118" s="307"/>
      <c r="E118" s="307"/>
      <c r="F118" s="307"/>
      <c r="G118" s="307"/>
      <c r="H118" s="308"/>
      <c r="I118" s="185">
        <f>SUM(I116:I117)</f>
        <v>165000</v>
      </c>
      <c r="J118" s="185">
        <f t="shared" ref="J118:Q118" si="83">SUM(J116:J117)</f>
        <v>0</v>
      </c>
      <c r="K118" s="185">
        <f t="shared" si="83"/>
        <v>165000</v>
      </c>
      <c r="L118" s="185">
        <f t="shared" si="83"/>
        <v>4735.5</v>
      </c>
      <c r="M118" s="185">
        <f t="shared" si="83"/>
        <v>17958.184166666666</v>
      </c>
      <c r="N118" s="185">
        <f t="shared" si="83"/>
        <v>5016</v>
      </c>
      <c r="O118" s="185">
        <f t="shared" si="83"/>
        <v>5050</v>
      </c>
      <c r="P118" s="185">
        <f t="shared" si="83"/>
        <v>32759.684166666666</v>
      </c>
      <c r="Q118" s="185">
        <f t="shared" si="83"/>
        <v>132240.31583333333</v>
      </c>
    </row>
    <row r="119" spans="1:17" s="7" customFormat="1" ht="36.75" customHeight="1" x14ac:dyDescent="0.2">
      <c r="A119" s="303" t="s">
        <v>494</v>
      </c>
      <c r="B119" s="305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6"/>
    </row>
    <row r="120" spans="1:17" s="7" customFormat="1" ht="38.25" customHeight="1" x14ac:dyDescent="0.2">
      <c r="A120" s="98">
        <v>56</v>
      </c>
      <c r="B120" s="107" t="s">
        <v>555</v>
      </c>
      <c r="C120" s="107" t="s">
        <v>412</v>
      </c>
      <c r="D120" s="107" t="s">
        <v>697</v>
      </c>
      <c r="E120" s="108" t="s">
        <v>283</v>
      </c>
      <c r="F120" s="108" t="s">
        <v>19</v>
      </c>
      <c r="G120" s="109">
        <v>45748</v>
      </c>
      <c r="H120" s="109">
        <v>45931</v>
      </c>
      <c r="I120" s="110">
        <v>120000</v>
      </c>
      <c r="J120" s="111">
        <v>0</v>
      </c>
      <c r="K120" s="111">
        <f t="shared" ref="K120" si="84">SUM(I120:J120)</f>
        <v>120000</v>
      </c>
      <c r="L120" s="111">
        <f>IF(I120&gt;=Datos!$D$14,(Datos!$D$14*Datos!$C$14),IF(I120&lt;=Datos!$D$14,(I120*Datos!$C$14)))</f>
        <v>3444</v>
      </c>
      <c r="M120" s="112">
        <v>16381</v>
      </c>
      <c r="N120" s="111">
        <f>IF(I120&gt;=Datos!$D$15,(Datos!$D$15*Datos!$C$15),IF(I120&lt;=Datos!$D$15,(I120*Datos!$C$15)))</f>
        <v>3648</v>
      </c>
      <c r="O120" s="111">
        <v>51740.46</v>
      </c>
      <c r="P120" s="111">
        <f>SUM(L120:O120)</f>
        <v>75213.459999999992</v>
      </c>
      <c r="Q120" s="113">
        <f>+K120-P120</f>
        <v>44786.540000000008</v>
      </c>
    </row>
    <row r="121" spans="1:17" s="7" customFormat="1" ht="38.25" customHeight="1" x14ac:dyDescent="0.2">
      <c r="A121" s="98">
        <v>57</v>
      </c>
      <c r="B121" s="107" t="s">
        <v>361</v>
      </c>
      <c r="C121" s="107" t="s">
        <v>412</v>
      </c>
      <c r="D121" s="107" t="s">
        <v>269</v>
      </c>
      <c r="E121" s="108" t="s">
        <v>283</v>
      </c>
      <c r="F121" s="108" t="s">
        <v>19</v>
      </c>
      <c r="G121" s="109">
        <v>45717</v>
      </c>
      <c r="H121" s="109">
        <v>45901</v>
      </c>
      <c r="I121" s="110">
        <v>60000</v>
      </c>
      <c r="J121" s="111">
        <v>0</v>
      </c>
      <c r="K121" s="111">
        <f>SUM(I121:J121)</f>
        <v>60000</v>
      </c>
      <c r="L121" s="111">
        <f>IF(I121&gt;=Datos!$D$14,(Datos!$D$14*Datos!$C$14),IF(I121&lt;=Datos!$D$14,(I121*Datos!$C$14)))</f>
        <v>1722</v>
      </c>
      <c r="M121" s="112">
        <f>IF((I121-L121-N121)&lt;=Datos!$G$7,"0",IF((I121-L121-N121)&lt;=Datos!$G$8,((I121-L121-N121)-Datos!$F$8)*Datos!$I$6,IF((I121-L121-N121)&lt;=Datos!$G$9,Datos!$I$8+((I121-L121-N121)-Datos!$F$9)*Datos!$J$6,IF((I121-L121-N121)&gt;=Datos!$F$10,(Datos!$I$8+Datos!$J$8)+((I121-L121-N121)-Datos!$F$10)*Datos!$K$6))))</f>
        <v>3486.6756666666661</v>
      </c>
      <c r="N121" s="111">
        <f>IF(I121&gt;=Datos!$D$15,(Datos!$D$15*Datos!$C$15),IF(I121&lt;=Datos!$D$15,(I121*Datos!$C$15)))</f>
        <v>1824</v>
      </c>
      <c r="O121" s="111">
        <v>25</v>
      </c>
      <c r="P121" s="111">
        <f>SUM(L121:O121)</f>
        <v>7057.6756666666661</v>
      </c>
      <c r="Q121" s="113">
        <f>+K121-P121</f>
        <v>52942.324333333338</v>
      </c>
    </row>
    <row r="122" spans="1:17" s="85" customFormat="1" ht="36.75" customHeight="1" x14ac:dyDescent="0.2">
      <c r="A122" s="303" t="s">
        <v>455</v>
      </c>
      <c r="B122" s="305"/>
      <c r="C122" s="116">
        <v>2</v>
      </c>
      <c r="D122" s="307"/>
      <c r="E122" s="307"/>
      <c r="F122" s="307"/>
      <c r="G122" s="307"/>
      <c r="H122" s="308"/>
      <c r="I122" s="121">
        <f>SUM(I120:I121)</f>
        <v>180000</v>
      </c>
      <c r="J122" s="121">
        <f>SUM(J121:J121)</f>
        <v>0</v>
      </c>
      <c r="K122" s="121">
        <f t="shared" ref="K122:Q122" si="85">SUM(K120:K121)</f>
        <v>180000</v>
      </c>
      <c r="L122" s="121">
        <f t="shared" si="85"/>
        <v>5166</v>
      </c>
      <c r="M122" s="121">
        <f t="shared" si="85"/>
        <v>19867.675666666666</v>
      </c>
      <c r="N122" s="121">
        <f t="shared" si="85"/>
        <v>5472</v>
      </c>
      <c r="O122" s="121">
        <f t="shared" si="85"/>
        <v>51765.46</v>
      </c>
      <c r="P122" s="121">
        <f t="shared" si="85"/>
        <v>82271.135666666654</v>
      </c>
      <c r="Q122" s="121">
        <f t="shared" si="85"/>
        <v>97728.864333333346</v>
      </c>
    </row>
    <row r="123" spans="1:17" s="7" customFormat="1" ht="36.75" customHeight="1" x14ac:dyDescent="0.2">
      <c r="A123" s="303" t="s">
        <v>807</v>
      </c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6"/>
    </row>
    <row r="124" spans="1:17" s="7" customFormat="1" ht="38.25" customHeight="1" x14ac:dyDescent="0.2">
      <c r="A124" s="106">
        <v>58</v>
      </c>
      <c r="B124" s="133" t="s">
        <v>446</v>
      </c>
      <c r="C124" s="133" t="s">
        <v>412</v>
      </c>
      <c r="D124" s="133" t="s">
        <v>808</v>
      </c>
      <c r="E124" s="115" t="s">
        <v>283</v>
      </c>
      <c r="F124" s="115" t="s">
        <v>19</v>
      </c>
      <c r="G124" s="124">
        <v>45839</v>
      </c>
      <c r="H124" s="125">
        <v>46023</v>
      </c>
      <c r="I124" s="111">
        <v>120000</v>
      </c>
      <c r="J124" s="111">
        <v>0</v>
      </c>
      <c r="K124" s="111">
        <f>SUM(I124:J124)</f>
        <v>120000</v>
      </c>
      <c r="L124" s="111">
        <f>IF(I124&gt;=Datos!$D$14,(Datos!$D$14*Datos!$C$14),IF(I124&lt;=Datos!$D$14,(I124*Datos!$C$14)))</f>
        <v>3444</v>
      </c>
      <c r="M124" s="112">
        <f>IF((I124-L124-N124)&lt;=Datos!$G$7,"0",IF((I124-L124-N124)&lt;=Datos!$G$8,((I124-L124-N124)-Datos!$F$8)*Datos!$I$6,IF((I124-L124-N124)&lt;=Datos!$G$9,Datos!$I$8+((I124-L124-N124)-Datos!$F$9)*Datos!$J$6,IF((I124-L124-N124)&gt;=Datos!$F$10,(Datos!$I$8+Datos!$J$8)+((I124-L124-N124)-Datos!$F$10)*Datos!$K$6))))</f>
        <v>16809.860666666667</v>
      </c>
      <c r="N124" s="111">
        <f>IF(I124&gt;=Datos!$D$15,(Datos!$D$15*Datos!$C$15),IF(I124&lt;=Datos!$D$15,(I124*Datos!$C$15)))</f>
        <v>3648</v>
      </c>
      <c r="O124" s="111">
        <v>27661.16</v>
      </c>
      <c r="P124" s="111">
        <f>+L124+M124+N124+O124</f>
        <v>51563.020666666664</v>
      </c>
      <c r="Q124" s="113">
        <f>+I124-P124</f>
        <v>68436.979333333336</v>
      </c>
    </row>
    <row r="125" spans="1:17" s="85" customFormat="1" ht="36.75" customHeight="1" x14ac:dyDescent="0.2">
      <c r="A125" s="303" t="s">
        <v>455</v>
      </c>
      <c r="B125" s="305"/>
      <c r="C125" s="116">
        <v>1</v>
      </c>
      <c r="D125" s="307"/>
      <c r="E125" s="307"/>
      <c r="F125" s="307"/>
      <c r="G125" s="307"/>
      <c r="H125" s="308"/>
      <c r="I125" s="185">
        <f>SUM(I124)</f>
        <v>120000</v>
      </c>
      <c r="J125" s="185">
        <f t="shared" ref="J125:Q125" si="86">SUM(J124)</f>
        <v>0</v>
      </c>
      <c r="K125" s="185">
        <f t="shared" si="86"/>
        <v>120000</v>
      </c>
      <c r="L125" s="185">
        <f t="shared" si="86"/>
        <v>3444</v>
      </c>
      <c r="M125" s="185">
        <f t="shared" si="86"/>
        <v>16809.860666666667</v>
      </c>
      <c r="N125" s="185">
        <f t="shared" si="86"/>
        <v>3648</v>
      </c>
      <c r="O125" s="185">
        <f t="shared" si="86"/>
        <v>27661.16</v>
      </c>
      <c r="P125" s="185">
        <f t="shared" si="86"/>
        <v>51563.020666666664</v>
      </c>
      <c r="Q125" s="185">
        <f t="shared" si="86"/>
        <v>68436.979333333336</v>
      </c>
    </row>
    <row r="126" spans="1:17" s="7" customFormat="1" ht="36.75" customHeight="1" x14ac:dyDescent="0.2">
      <c r="A126" s="303" t="s">
        <v>698</v>
      </c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6"/>
    </row>
    <row r="127" spans="1:17" s="7" customFormat="1" ht="38.25" customHeight="1" x14ac:dyDescent="0.2">
      <c r="A127" s="106">
        <v>59</v>
      </c>
      <c r="B127" s="131" t="s">
        <v>349</v>
      </c>
      <c r="C127" s="132" t="s">
        <v>412</v>
      </c>
      <c r="D127" s="127" t="s">
        <v>699</v>
      </c>
      <c r="E127" s="115" t="s">
        <v>283</v>
      </c>
      <c r="F127" s="115" t="s">
        <v>19</v>
      </c>
      <c r="G127" s="125">
        <v>45717</v>
      </c>
      <c r="H127" s="124">
        <v>45901</v>
      </c>
      <c r="I127" s="128">
        <v>145000</v>
      </c>
      <c r="J127" s="111">
        <v>0</v>
      </c>
      <c r="K127" s="111">
        <f>SUM(I127:J127)</f>
        <v>145000</v>
      </c>
      <c r="L127" s="111">
        <f>IF(I127&gt;=Datos!$D$14,(Datos!$D$14*Datos!$C$14),IF(I127&lt;=Datos!$D$14,(I127*Datos!$C$14)))</f>
        <v>4161.5</v>
      </c>
      <c r="M127" s="112">
        <f>IF((I127-L127-N127)&lt;=Datos!$G$7,"0",IF((I127-L127-N127)&lt;=Datos!$G$8,((I127-L127-N127)-Datos!$F$8)*Datos!$I$6,IF((I127-L127-N127)&lt;=Datos!$G$9,Datos!$I$8+((I127-L127-N127)-Datos!$F$9)*Datos!$J$6,IF((I127-L127-N127)&gt;=Datos!$F$10,(Datos!$I$8+Datos!$J$8)+((I127-L127-N127)-Datos!$F$10)*Datos!$K$6))))</f>
        <v>22690.485666666667</v>
      </c>
      <c r="N127" s="111">
        <f>IF(I127&gt;=Datos!$D$15,(Datos!$D$15*Datos!$C$15),IF(I127&lt;=Datos!$D$15,(I127*Datos!$C$15)))</f>
        <v>4408</v>
      </c>
      <c r="O127" s="111">
        <v>25</v>
      </c>
      <c r="P127" s="111">
        <f t="shared" ref="P127" si="87">SUM(L127:O127)</f>
        <v>31284.985666666667</v>
      </c>
      <c r="Q127" s="113">
        <f t="shared" ref="Q127" si="88">+K127-P127</f>
        <v>113715.01433333333</v>
      </c>
    </row>
    <row r="128" spans="1:17" s="85" customFormat="1" ht="36.75" customHeight="1" x14ac:dyDescent="0.2">
      <c r="A128" s="303" t="s">
        <v>455</v>
      </c>
      <c r="B128" s="305"/>
      <c r="C128" s="116">
        <v>1</v>
      </c>
      <c r="D128" s="307"/>
      <c r="E128" s="307"/>
      <c r="F128" s="307"/>
      <c r="G128" s="307"/>
      <c r="H128" s="308"/>
      <c r="I128" s="121">
        <f>SUM(I127)</f>
        <v>145000</v>
      </c>
      <c r="J128" s="121">
        <f t="shared" ref="J128:Q128" si="89">SUM(J127)</f>
        <v>0</v>
      </c>
      <c r="K128" s="121">
        <f t="shared" si="89"/>
        <v>145000</v>
      </c>
      <c r="L128" s="121">
        <f t="shared" si="89"/>
        <v>4161.5</v>
      </c>
      <c r="M128" s="121">
        <f t="shared" si="89"/>
        <v>22690.485666666667</v>
      </c>
      <c r="N128" s="121">
        <f t="shared" si="89"/>
        <v>4408</v>
      </c>
      <c r="O128" s="121">
        <f t="shared" si="89"/>
        <v>25</v>
      </c>
      <c r="P128" s="121">
        <f t="shared" si="89"/>
        <v>31284.985666666667</v>
      </c>
      <c r="Q128" s="121">
        <f t="shared" si="89"/>
        <v>113715.01433333333</v>
      </c>
    </row>
    <row r="129" spans="1:17" s="7" customFormat="1" ht="36.75" customHeight="1" x14ac:dyDescent="0.2">
      <c r="A129" s="303" t="s">
        <v>638</v>
      </c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6"/>
    </row>
    <row r="130" spans="1:17" s="7" customFormat="1" ht="38.25" customHeight="1" x14ac:dyDescent="0.2">
      <c r="A130" s="106">
        <v>60</v>
      </c>
      <c r="B130" s="122" t="s">
        <v>536</v>
      </c>
      <c r="C130" s="122" t="s">
        <v>412</v>
      </c>
      <c r="D130" s="127" t="s">
        <v>537</v>
      </c>
      <c r="E130" s="108" t="s">
        <v>283</v>
      </c>
      <c r="F130" s="108" t="s">
        <v>281</v>
      </c>
      <c r="G130" s="109">
        <v>45809</v>
      </c>
      <c r="H130" s="123">
        <v>45992</v>
      </c>
      <c r="I130" s="111">
        <v>120000</v>
      </c>
      <c r="J130" s="111">
        <v>0</v>
      </c>
      <c r="K130" s="111">
        <f>SUM(I130:J130)</f>
        <v>120000</v>
      </c>
      <c r="L130" s="111">
        <f>IF(I130&gt;=Datos!$D$14,(Datos!$D$14*Datos!$C$14),IF(I130&lt;=Datos!$D$14,(I130*Datos!$C$14)))</f>
        <v>3444</v>
      </c>
      <c r="M130" s="112">
        <v>16381</v>
      </c>
      <c r="N130" s="111">
        <f>IF(I130&gt;=Datos!$D$15,(Datos!$D$15*Datos!$C$15),IF(I130&lt;=Datos!$D$15,(I130*Datos!$C$15)))</f>
        <v>3648</v>
      </c>
      <c r="O130" s="111">
        <v>15740.46</v>
      </c>
      <c r="P130" s="111">
        <f>SUM(L130:O130)</f>
        <v>39213.46</v>
      </c>
      <c r="Q130" s="113">
        <f>+K130-P130</f>
        <v>80786.540000000008</v>
      </c>
    </row>
    <row r="131" spans="1:17" s="85" customFormat="1" ht="36.75" customHeight="1" x14ac:dyDescent="0.2">
      <c r="A131" s="303" t="s">
        <v>455</v>
      </c>
      <c r="B131" s="305"/>
      <c r="C131" s="116">
        <v>1</v>
      </c>
      <c r="D131" s="307"/>
      <c r="E131" s="307"/>
      <c r="F131" s="307"/>
      <c r="G131" s="307"/>
      <c r="H131" s="308"/>
      <c r="I131" s="194">
        <f>SUM(I130)</f>
        <v>120000</v>
      </c>
      <c r="J131" s="194">
        <f t="shared" ref="J131:Q131" si="90">SUM(J130)</f>
        <v>0</v>
      </c>
      <c r="K131" s="194">
        <f t="shared" si="90"/>
        <v>120000</v>
      </c>
      <c r="L131" s="194">
        <f t="shared" si="90"/>
        <v>3444</v>
      </c>
      <c r="M131" s="194">
        <f t="shared" si="90"/>
        <v>16381</v>
      </c>
      <c r="N131" s="194">
        <f t="shared" si="90"/>
        <v>3648</v>
      </c>
      <c r="O131" s="194">
        <f t="shared" si="90"/>
        <v>15740.46</v>
      </c>
      <c r="P131" s="194">
        <f t="shared" si="90"/>
        <v>39213.46</v>
      </c>
      <c r="Q131" s="194">
        <f t="shared" si="90"/>
        <v>80786.540000000008</v>
      </c>
    </row>
    <row r="132" spans="1:17" s="7" customFormat="1" ht="36.75" customHeight="1" x14ac:dyDescent="0.2">
      <c r="A132" s="303" t="s">
        <v>705</v>
      </c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6"/>
    </row>
    <row r="133" spans="1:17" s="7" customFormat="1" ht="38.25" customHeight="1" x14ac:dyDescent="0.2">
      <c r="A133" s="106">
        <v>61</v>
      </c>
      <c r="B133" s="122" t="s">
        <v>402</v>
      </c>
      <c r="C133" s="122" t="s">
        <v>412</v>
      </c>
      <c r="D133" s="127" t="s">
        <v>706</v>
      </c>
      <c r="E133" s="108" t="s">
        <v>283</v>
      </c>
      <c r="F133" s="108" t="s">
        <v>281</v>
      </c>
      <c r="G133" s="109">
        <v>45778</v>
      </c>
      <c r="H133" s="123">
        <v>45962</v>
      </c>
      <c r="I133" s="111">
        <v>120000</v>
      </c>
      <c r="J133" s="111">
        <v>0</v>
      </c>
      <c r="K133" s="111">
        <f>SUM(I133:J133)</f>
        <v>120000</v>
      </c>
      <c r="L133" s="111">
        <f>IF(I133&gt;=Datos!$D$14,(Datos!$D$14*Datos!$C$14),IF(I133&lt;=Datos!$D$14,(I133*Datos!$C$14)))</f>
        <v>3444</v>
      </c>
      <c r="M133" s="112">
        <f>IF((I133-L133-N133)&lt;=Datos!$G$7,"0",IF((I133-L133-N133)&lt;=Datos!$G$8,((I133-L133-N133)-Datos!$F$8)*Datos!$I$6,IF((I133-L133-N133)&lt;=Datos!$G$9,Datos!$I$8+((I133-L133-N133)-Datos!$F$9)*Datos!$J$6,IF((I133-L133-N133)&gt;=Datos!$F$10,(Datos!$I$8+Datos!$J$8)+((I133-L133-N133)-Datos!$F$10)*Datos!$K$6))))</f>
        <v>16809.860666666667</v>
      </c>
      <c r="N133" s="111">
        <f>IF(I133&gt;=Datos!$D$15,(Datos!$D$15*Datos!$C$15),IF(I133&lt;=Datos!$D$15,(I133*Datos!$C$15)))</f>
        <v>3648</v>
      </c>
      <c r="O133" s="111">
        <v>25</v>
      </c>
      <c r="P133" s="111">
        <f>SUM(L133:O133)</f>
        <v>23926.860666666667</v>
      </c>
      <c r="Q133" s="113">
        <f>+K133-P133</f>
        <v>96073.139333333325</v>
      </c>
    </row>
    <row r="134" spans="1:17" s="85" customFormat="1" ht="36.75" customHeight="1" x14ac:dyDescent="0.2">
      <c r="A134" s="303" t="s">
        <v>455</v>
      </c>
      <c r="B134" s="305"/>
      <c r="C134" s="116">
        <v>1</v>
      </c>
      <c r="D134" s="307"/>
      <c r="E134" s="307"/>
      <c r="F134" s="307"/>
      <c r="G134" s="307"/>
      <c r="H134" s="308"/>
      <c r="I134" s="194">
        <f>SUM(I133)</f>
        <v>120000</v>
      </c>
      <c r="J134" s="194">
        <f t="shared" ref="J134:Q134" si="91">SUM(J133)</f>
        <v>0</v>
      </c>
      <c r="K134" s="194">
        <f t="shared" si="91"/>
        <v>120000</v>
      </c>
      <c r="L134" s="194">
        <f t="shared" si="91"/>
        <v>3444</v>
      </c>
      <c r="M134" s="194">
        <f t="shared" si="91"/>
        <v>16809.860666666667</v>
      </c>
      <c r="N134" s="194">
        <f t="shared" si="91"/>
        <v>3648</v>
      </c>
      <c r="O134" s="194">
        <f t="shared" si="91"/>
        <v>25</v>
      </c>
      <c r="P134" s="194">
        <f t="shared" si="91"/>
        <v>23926.860666666667</v>
      </c>
      <c r="Q134" s="194">
        <f t="shared" si="91"/>
        <v>96073.139333333325</v>
      </c>
    </row>
    <row r="135" spans="1:17" s="7" customFormat="1" ht="36.75" customHeight="1" x14ac:dyDescent="0.2">
      <c r="A135" s="303" t="s">
        <v>859</v>
      </c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6"/>
    </row>
    <row r="136" spans="1:17" s="7" customFormat="1" ht="38.25" customHeight="1" x14ac:dyDescent="0.2">
      <c r="A136" s="106">
        <v>62</v>
      </c>
      <c r="B136" s="122" t="s">
        <v>684</v>
      </c>
      <c r="C136" s="122" t="s">
        <v>412</v>
      </c>
      <c r="D136" s="127" t="s">
        <v>860</v>
      </c>
      <c r="E136" s="108" t="s">
        <v>283</v>
      </c>
      <c r="F136" s="108" t="s">
        <v>19</v>
      </c>
      <c r="G136" s="109">
        <v>45748</v>
      </c>
      <c r="H136" s="123">
        <v>45931</v>
      </c>
      <c r="I136" s="111">
        <v>135000</v>
      </c>
      <c r="J136" s="111">
        <v>0</v>
      </c>
      <c r="K136" s="111">
        <f>SUM(I136:J136)</f>
        <v>135000</v>
      </c>
      <c r="L136" s="111">
        <f>IF(I136&gt;=Datos!$D$14,(Datos!$D$14*Datos!$C$14),IF(I136&lt;=Datos!$D$14,(I136*Datos!$C$14)))</f>
        <v>3874.5</v>
      </c>
      <c r="M136" s="112">
        <f>IF((I136-L136-N136)&lt;=Datos!$G$7,"0",IF((I136-L136-N136)&lt;=Datos!$G$8,((I136-L136-N136)-Datos!$F$8)*Datos!$I$6,IF((I136-L136-N136)&lt;=Datos!$G$9,Datos!$I$8+((I136-L136-N136)-Datos!$F$9)*Datos!$J$6,IF((I136-L136-N136)&gt;=Datos!$F$10,(Datos!$I$8+Datos!$J$8)+((I136-L136-N136)-Datos!$F$10)*Datos!$K$6))))</f>
        <v>20338.235666666667</v>
      </c>
      <c r="N136" s="111">
        <f>IF(I136&gt;=Datos!$D$15,(Datos!$D$15*Datos!$C$15),IF(I136&lt;=Datos!$D$15,(I136*Datos!$C$15)))</f>
        <v>4104</v>
      </c>
      <c r="O136" s="111">
        <v>25</v>
      </c>
      <c r="P136" s="111">
        <f>SUM(L136:O136)</f>
        <v>28341.735666666667</v>
      </c>
      <c r="Q136" s="113">
        <f>+K136-P136</f>
        <v>106658.26433333333</v>
      </c>
    </row>
    <row r="137" spans="1:17" s="85" customFormat="1" ht="36.75" customHeight="1" x14ac:dyDescent="0.2">
      <c r="A137" s="303" t="s">
        <v>455</v>
      </c>
      <c r="B137" s="305"/>
      <c r="C137" s="116">
        <v>1</v>
      </c>
      <c r="D137" s="307"/>
      <c r="E137" s="307"/>
      <c r="F137" s="307"/>
      <c r="G137" s="307"/>
      <c r="H137" s="308"/>
      <c r="I137" s="121">
        <f>SUM(I136)</f>
        <v>135000</v>
      </c>
      <c r="J137" s="121">
        <f t="shared" ref="J137:Q137" si="92">SUM(J136)</f>
        <v>0</v>
      </c>
      <c r="K137" s="121">
        <f t="shared" si="92"/>
        <v>135000</v>
      </c>
      <c r="L137" s="121">
        <f t="shared" si="92"/>
        <v>3874.5</v>
      </c>
      <c r="M137" s="121">
        <f t="shared" si="92"/>
        <v>20338.235666666667</v>
      </c>
      <c r="N137" s="121">
        <f t="shared" si="92"/>
        <v>4104</v>
      </c>
      <c r="O137" s="121">
        <f t="shared" si="92"/>
        <v>25</v>
      </c>
      <c r="P137" s="121">
        <f t="shared" si="92"/>
        <v>28341.735666666667</v>
      </c>
      <c r="Q137" s="121">
        <f t="shared" si="92"/>
        <v>106658.26433333333</v>
      </c>
    </row>
    <row r="138" spans="1:17" s="7" customFormat="1" ht="36.75" customHeight="1" x14ac:dyDescent="0.2">
      <c r="A138" s="303" t="s">
        <v>639</v>
      </c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6"/>
    </row>
    <row r="139" spans="1:17" s="7" customFormat="1" ht="38.25" customHeight="1" x14ac:dyDescent="0.2">
      <c r="A139" s="106">
        <v>63</v>
      </c>
      <c r="B139" s="122" t="s">
        <v>640</v>
      </c>
      <c r="C139" s="122" t="s">
        <v>284</v>
      </c>
      <c r="D139" s="127" t="s">
        <v>550</v>
      </c>
      <c r="E139" s="108" t="s">
        <v>283</v>
      </c>
      <c r="F139" s="108" t="s">
        <v>19</v>
      </c>
      <c r="G139" s="109">
        <v>45717</v>
      </c>
      <c r="H139" s="123">
        <v>45901</v>
      </c>
      <c r="I139" s="111">
        <v>50000</v>
      </c>
      <c r="J139" s="111">
        <v>0</v>
      </c>
      <c r="K139" s="111">
        <f>SUM(I139:J139)</f>
        <v>50000</v>
      </c>
      <c r="L139" s="111">
        <f>IF(I139&gt;=Datos!$D$14,(Datos!$D$14*Datos!$C$14),IF(I139&lt;=Datos!$D$14,(I139*Datos!$C$14)))</f>
        <v>1435</v>
      </c>
      <c r="M139" s="112">
        <f>IF((I139-L139-N139)&lt;=Datos!$G$7,"0",IF((I139-L139-N139)&lt;=Datos!$G$8,((I139-L139-N139)-Datos!$F$8)*Datos!$I$6,IF((I139-L139-N139)&lt;=Datos!$G$9,Datos!$I$8+((I139-L139-N139)-Datos!$F$9)*Datos!$J$6,IF((I139-L139-N139)&gt;=Datos!$F$10,(Datos!$I$8+Datos!$J$8)+((I139-L139-N139)-Datos!$F$10)*Datos!$K$6))))</f>
        <v>1853.9984999999997</v>
      </c>
      <c r="N139" s="111">
        <f>IF(I139&gt;=Datos!$D$15,(Datos!$D$15*Datos!$C$15),IF(I139&lt;=Datos!$D$15,(I139*Datos!$C$15)))</f>
        <v>1520</v>
      </c>
      <c r="O139" s="111">
        <v>25</v>
      </c>
      <c r="P139" s="111">
        <f>SUM(L139:O139)</f>
        <v>4833.9984999999997</v>
      </c>
      <c r="Q139" s="113">
        <f>+K139-P139</f>
        <v>45166.001499999998</v>
      </c>
    </row>
    <row r="140" spans="1:17" s="85" customFormat="1" ht="36.75" customHeight="1" x14ac:dyDescent="0.2">
      <c r="A140" s="303" t="s">
        <v>455</v>
      </c>
      <c r="B140" s="305"/>
      <c r="C140" s="116">
        <v>1</v>
      </c>
      <c r="D140" s="307"/>
      <c r="E140" s="307"/>
      <c r="F140" s="307"/>
      <c r="G140" s="307"/>
      <c r="H140" s="308"/>
      <c r="I140" s="121">
        <f>SUM(I139)</f>
        <v>50000</v>
      </c>
      <c r="J140" s="121">
        <f t="shared" ref="J140:Q140" si="93">SUM(J139)</f>
        <v>0</v>
      </c>
      <c r="K140" s="121">
        <f t="shared" si="93"/>
        <v>50000</v>
      </c>
      <c r="L140" s="121">
        <f t="shared" si="93"/>
        <v>1435</v>
      </c>
      <c r="M140" s="121">
        <f t="shared" si="93"/>
        <v>1853.9984999999997</v>
      </c>
      <c r="N140" s="121">
        <f t="shared" si="93"/>
        <v>1520</v>
      </c>
      <c r="O140" s="121">
        <f t="shared" si="93"/>
        <v>25</v>
      </c>
      <c r="P140" s="121">
        <f t="shared" si="93"/>
        <v>4833.9984999999997</v>
      </c>
      <c r="Q140" s="121">
        <f t="shared" si="93"/>
        <v>45166.001499999998</v>
      </c>
    </row>
    <row r="141" spans="1:17" s="7" customFormat="1" ht="36.75" customHeight="1" x14ac:dyDescent="0.2">
      <c r="A141" s="303" t="s">
        <v>548</v>
      </c>
      <c r="B141" s="305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6"/>
    </row>
    <row r="142" spans="1:17" s="7" customFormat="1" ht="38.25" customHeight="1" x14ac:dyDescent="0.2">
      <c r="A142" s="106">
        <v>64</v>
      </c>
      <c r="B142" s="122" t="s">
        <v>717</v>
      </c>
      <c r="C142" s="122" t="s">
        <v>285</v>
      </c>
      <c r="D142" s="127" t="s">
        <v>718</v>
      </c>
      <c r="E142" s="108" t="s">
        <v>283</v>
      </c>
      <c r="F142" s="108" t="s">
        <v>281</v>
      </c>
      <c r="G142" s="109">
        <v>45809</v>
      </c>
      <c r="H142" s="123">
        <v>45992</v>
      </c>
      <c r="I142" s="111">
        <v>70000</v>
      </c>
      <c r="J142" s="111">
        <v>0</v>
      </c>
      <c r="K142" s="111">
        <f>SUM(I142:J142)</f>
        <v>70000</v>
      </c>
      <c r="L142" s="111">
        <f>IF(I142&gt;=Datos!$D$14,(Datos!$D$14*Datos!$C$14),IF(I142&lt;=Datos!$D$14,(I142*Datos!$C$14)))</f>
        <v>2009</v>
      </c>
      <c r="M142" s="112">
        <f>IF((I142-L142-N142)&lt;=Datos!$G$7,"0",IF((I142-L142-N142)&lt;=Datos!$G$8,((I142-L142-N142)-Datos!$F$8)*Datos!$I$6,IF((I142-L142-N142)&lt;=Datos!$G$9,Datos!$I$8+((I142-L142-N142)-Datos!$F$9)*Datos!$J$6,IF((I142-L142-N142)&gt;=Datos!$F$10,(Datos!$I$8+Datos!$J$8)+((I142-L142-N142)-Datos!$F$10)*Datos!$K$6))))</f>
        <v>5368.4756666666663</v>
      </c>
      <c r="N142" s="111">
        <f>IF(I142&gt;=Datos!$D$15,(Datos!$D$15*Datos!$C$15),IF(I142&lt;=Datos!$D$15,(I142*Datos!$C$15)))</f>
        <v>2128</v>
      </c>
      <c r="O142" s="111">
        <v>25</v>
      </c>
      <c r="P142" s="111">
        <f>SUM(L142:O142)</f>
        <v>9530.4756666666653</v>
      </c>
      <c r="Q142" s="113">
        <f>+K142-P142</f>
        <v>60469.524333333335</v>
      </c>
    </row>
    <row r="143" spans="1:17" s="7" customFormat="1" ht="38.25" customHeight="1" x14ac:dyDescent="0.2">
      <c r="A143" s="106">
        <v>65</v>
      </c>
      <c r="B143" s="122" t="s">
        <v>790</v>
      </c>
      <c r="C143" s="122" t="s">
        <v>285</v>
      </c>
      <c r="D143" s="127" t="s">
        <v>550</v>
      </c>
      <c r="E143" s="108" t="s">
        <v>283</v>
      </c>
      <c r="F143" s="108" t="s">
        <v>19</v>
      </c>
      <c r="G143" s="109">
        <v>45689</v>
      </c>
      <c r="H143" s="123">
        <v>45870</v>
      </c>
      <c r="I143" s="111">
        <v>50000</v>
      </c>
      <c r="J143" s="111">
        <v>0</v>
      </c>
      <c r="K143" s="111">
        <f>SUM(I143:J143)</f>
        <v>50000</v>
      </c>
      <c r="L143" s="111">
        <f>IF(I143&gt;=Datos!$D$14,(Datos!$D$14*Datos!$C$14),IF(I143&lt;=Datos!$D$14,(I143*Datos!$C$14)))</f>
        <v>1435</v>
      </c>
      <c r="M143" s="112">
        <f>IF((I143-L143-N143)&lt;=Datos!$G$7,"0",IF((I143-L143-N143)&lt;=Datos!$G$8,((I143-L143-N143)-Datos!$F$8)*Datos!$I$6,IF((I143-L143-N143)&lt;=Datos!$G$9,Datos!$I$8+((I143-L143-N143)-Datos!$F$9)*Datos!$J$6,IF((I143-L143-N143)&gt;=Datos!$F$10,(Datos!$I$8+Datos!$J$8)+((I143-L143-N143)-Datos!$F$10)*Datos!$K$6))))</f>
        <v>1853.9984999999997</v>
      </c>
      <c r="N143" s="111">
        <f>IF(I143&gt;=Datos!$D$15,(Datos!$D$15*Datos!$C$15),IF(I143&lt;=Datos!$D$15,(I143*Datos!$C$15)))</f>
        <v>1520</v>
      </c>
      <c r="O143" s="111">
        <v>25</v>
      </c>
      <c r="P143" s="111">
        <f>SUM(L143:O143)</f>
        <v>4833.9984999999997</v>
      </c>
      <c r="Q143" s="113">
        <f>+K143-P143</f>
        <v>45166.001499999998</v>
      </c>
    </row>
    <row r="144" spans="1:17" s="7" customFormat="1" ht="38.25" customHeight="1" x14ac:dyDescent="0.2">
      <c r="A144" s="106">
        <v>66</v>
      </c>
      <c r="B144" s="122" t="s">
        <v>809</v>
      </c>
      <c r="C144" s="122" t="s">
        <v>285</v>
      </c>
      <c r="D144" s="127" t="s">
        <v>550</v>
      </c>
      <c r="E144" s="108" t="s">
        <v>283</v>
      </c>
      <c r="F144" s="108" t="s">
        <v>19</v>
      </c>
      <c r="G144" s="109">
        <v>45717</v>
      </c>
      <c r="H144" s="123">
        <v>45901</v>
      </c>
      <c r="I144" s="111">
        <v>50000</v>
      </c>
      <c r="J144" s="111">
        <v>0</v>
      </c>
      <c r="K144" s="111">
        <f>SUM(I144:J144)</f>
        <v>50000</v>
      </c>
      <c r="L144" s="111">
        <f>IF(I144&gt;=Datos!$D$14,(Datos!$D$14*Datos!$C$14),IF(I144&lt;=Datos!$D$14,(I144*Datos!$C$14)))</f>
        <v>1435</v>
      </c>
      <c r="M144" s="112">
        <v>1596.68</v>
      </c>
      <c r="N144" s="111">
        <f>IF(I144&gt;=Datos!$D$15,(Datos!$D$15*Datos!$C$15),IF(I144&lt;=Datos!$D$15,(I144*Datos!$C$15)))</f>
        <v>1520</v>
      </c>
      <c r="O144" s="111">
        <v>1740.46</v>
      </c>
      <c r="P144" s="111">
        <f>SUM(L144:O144)</f>
        <v>6292.14</v>
      </c>
      <c r="Q144" s="113">
        <f>+K144-P144</f>
        <v>43707.86</v>
      </c>
    </row>
    <row r="145" spans="1:17" s="7" customFormat="1" ht="38.25" customHeight="1" x14ac:dyDescent="0.2">
      <c r="A145" s="106">
        <v>67</v>
      </c>
      <c r="B145" s="122" t="s">
        <v>549</v>
      </c>
      <c r="C145" s="122" t="s">
        <v>285</v>
      </c>
      <c r="D145" s="127" t="s">
        <v>550</v>
      </c>
      <c r="E145" s="108" t="s">
        <v>283</v>
      </c>
      <c r="F145" s="108" t="s">
        <v>19</v>
      </c>
      <c r="G145" s="109">
        <v>45717</v>
      </c>
      <c r="H145" s="123">
        <v>45901</v>
      </c>
      <c r="I145" s="111">
        <v>50000</v>
      </c>
      <c r="J145" s="111">
        <v>0</v>
      </c>
      <c r="K145" s="111">
        <f>SUM(I145:J145)</f>
        <v>50000</v>
      </c>
      <c r="L145" s="111">
        <f>IF(I145&gt;=Datos!$D$14,(Datos!$D$14*Datos!$C$14),IF(I145&lt;=Datos!$D$14,(I145*Datos!$C$14)))</f>
        <v>1435</v>
      </c>
      <c r="M145" s="112">
        <v>1596.68</v>
      </c>
      <c r="N145" s="111">
        <f>IF(I145&gt;=Datos!$D$15,(Datos!$D$15*Datos!$C$15),IF(I145&lt;=Datos!$D$15,(I145*Datos!$C$15)))</f>
        <v>1520</v>
      </c>
      <c r="O145" s="111">
        <v>1740.46</v>
      </c>
      <c r="P145" s="111">
        <f>SUM(L145:O145)</f>
        <v>6292.14</v>
      </c>
      <c r="Q145" s="113">
        <f>+K145-P145</f>
        <v>43707.86</v>
      </c>
    </row>
    <row r="146" spans="1:17" s="85" customFormat="1" ht="36.75" customHeight="1" x14ac:dyDescent="0.2">
      <c r="A146" s="303" t="s">
        <v>455</v>
      </c>
      <c r="B146" s="305"/>
      <c r="C146" s="116">
        <v>4</v>
      </c>
      <c r="D146" s="307"/>
      <c r="E146" s="307"/>
      <c r="F146" s="307"/>
      <c r="G146" s="307"/>
      <c r="H146" s="308"/>
      <c r="I146" s="121">
        <f>SUM(I142:I145)</f>
        <v>220000</v>
      </c>
      <c r="J146" s="121">
        <f t="shared" ref="J146:Q146" si="94">SUM(J142:J145)</f>
        <v>0</v>
      </c>
      <c r="K146" s="121">
        <f t="shared" si="94"/>
        <v>220000</v>
      </c>
      <c r="L146" s="121">
        <f t="shared" si="94"/>
        <v>6314</v>
      </c>
      <c r="M146" s="121">
        <f t="shared" si="94"/>
        <v>10415.834166666666</v>
      </c>
      <c r="N146" s="121">
        <f t="shared" si="94"/>
        <v>6688</v>
      </c>
      <c r="O146" s="121">
        <f t="shared" si="94"/>
        <v>3530.92</v>
      </c>
      <c r="P146" s="121">
        <f t="shared" si="94"/>
        <v>26948.754166666666</v>
      </c>
      <c r="Q146" s="121">
        <f t="shared" si="94"/>
        <v>193051.24583333335</v>
      </c>
    </row>
    <row r="147" spans="1:17" s="7" customFormat="1" ht="36.75" customHeight="1" x14ac:dyDescent="0.2">
      <c r="A147" s="303" t="s">
        <v>681</v>
      </c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6"/>
    </row>
    <row r="148" spans="1:17" s="7" customFormat="1" ht="38.25" customHeight="1" x14ac:dyDescent="0.2">
      <c r="A148" s="106">
        <v>68</v>
      </c>
      <c r="B148" s="122" t="s">
        <v>682</v>
      </c>
      <c r="C148" s="122" t="s">
        <v>332</v>
      </c>
      <c r="D148" s="127" t="s">
        <v>550</v>
      </c>
      <c r="E148" s="108" t="s">
        <v>283</v>
      </c>
      <c r="F148" s="108" t="s">
        <v>19</v>
      </c>
      <c r="G148" s="109">
        <v>45748</v>
      </c>
      <c r="H148" s="123">
        <v>45931</v>
      </c>
      <c r="I148" s="111">
        <v>50000</v>
      </c>
      <c r="J148" s="111">
        <v>0</v>
      </c>
      <c r="K148" s="111">
        <f>SUM(I148:J148)</f>
        <v>50000</v>
      </c>
      <c r="L148" s="111">
        <f>IF(I148&gt;=Datos!$D$14,(Datos!$D$14*Datos!$C$14),IF(I148&lt;=Datos!$D$14,(I148*Datos!$C$14)))</f>
        <v>1435</v>
      </c>
      <c r="M148" s="112">
        <f>IF((I148-L148-N148)&lt;=Datos!$G$7,"0",IF((I148-L148-N148)&lt;=Datos!$G$8,((I148-L148-N148)-Datos!$F$8)*Datos!$I$6,IF((I148-L148-N148)&lt;=Datos!$G$9,Datos!$I$8+((I148-L148-N148)-Datos!$F$9)*Datos!$J$6,IF((I148-L148-N148)&gt;=Datos!$F$10,(Datos!$I$8+Datos!$J$8)+((I148-L148-N148)-Datos!$F$10)*Datos!$K$6))))</f>
        <v>1853.9984999999997</v>
      </c>
      <c r="N148" s="111">
        <f>IF(I148&gt;=Datos!$D$15,(Datos!$D$15*Datos!$C$15),IF(I148&lt;=Datos!$D$15,(I148*Datos!$C$15)))</f>
        <v>1520</v>
      </c>
      <c r="O148" s="111">
        <v>25</v>
      </c>
      <c r="P148" s="111">
        <f>SUM(L148:O148)</f>
        <v>4833.9984999999997</v>
      </c>
      <c r="Q148" s="113">
        <f>+K148-P148</f>
        <v>45166.001499999998</v>
      </c>
    </row>
    <row r="149" spans="1:17" s="7" customFormat="1" ht="38.25" customHeight="1" x14ac:dyDescent="0.2">
      <c r="A149" s="106">
        <v>69</v>
      </c>
      <c r="B149" s="122" t="s">
        <v>861</v>
      </c>
      <c r="C149" s="122" t="s">
        <v>332</v>
      </c>
      <c r="D149" s="127" t="s">
        <v>863</v>
      </c>
      <c r="E149" s="108" t="s">
        <v>283</v>
      </c>
      <c r="F149" s="108" t="s">
        <v>19</v>
      </c>
      <c r="G149" s="109">
        <v>45748</v>
      </c>
      <c r="H149" s="123">
        <v>45931</v>
      </c>
      <c r="I149" s="111">
        <v>50000</v>
      </c>
      <c r="J149" s="111">
        <v>0</v>
      </c>
      <c r="K149" s="111">
        <f t="shared" ref="K149:K150" si="95">SUM(I149:J149)</f>
        <v>50000</v>
      </c>
      <c r="L149" s="111">
        <f>IF(I149&gt;=Datos!$D$14,(Datos!$D$14*Datos!$C$14),IF(I149&lt;=Datos!$D$14,(I149*Datos!$C$14)))</f>
        <v>1435</v>
      </c>
      <c r="M149" s="112">
        <f>IF((I149-L149-N149)&lt;=Datos!$G$7,"0",IF((I149-L149-N149)&lt;=Datos!$G$8,((I149-L149-N149)-Datos!$F$8)*Datos!$I$6,IF((I149-L149-N149)&lt;=Datos!$G$9,Datos!$I$8+((I149-L149-N149)-Datos!$F$9)*Datos!$J$6,IF((I149-L149-N149)&gt;=Datos!$F$10,(Datos!$I$8+Datos!$J$8)+((I149-L149-N149)-Datos!$F$10)*Datos!$K$6))))</f>
        <v>1853.9984999999997</v>
      </c>
      <c r="N149" s="111">
        <f>IF(I149&gt;=Datos!$D$15,(Datos!$D$15*Datos!$C$15),IF(I149&lt;=Datos!$D$15,(I149*Datos!$C$15)))</f>
        <v>1520</v>
      </c>
      <c r="O149" s="111">
        <v>25</v>
      </c>
      <c r="P149" s="111">
        <f t="shared" ref="P149:P150" si="96">SUM(L149:O149)</f>
        <v>4833.9984999999997</v>
      </c>
      <c r="Q149" s="113">
        <f t="shared" ref="Q149:Q150" si="97">+K149-P149</f>
        <v>45166.001499999998</v>
      </c>
    </row>
    <row r="150" spans="1:17" s="7" customFormat="1" ht="38.25" customHeight="1" x14ac:dyDescent="0.2">
      <c r="A150" s="106">
        <v>70</v>
      </c>
      <c r="B150" s="122" t="s">
        <v>862</v>
      </c>
      <c r="C150" s="122" t="s">
        <v>332</v>
      </c>
      <c r="D150" s="127" t="s">
        <v>864</v>
      </c>
      <c r="E150" s="108" t="s">
        <v>283</v>
      </c>
      <c r="F150" s="108" t="s">
        <v>19</v>
      </c>
      <c r="G150" s="109">
        <v>45748</v>
      </c>
      <c r="H150" s="123">
        <v>45931</v>
      </c>
      <c r="I150" s="111">
        <v>70000</v>
      </c>
      <c r="J150" s="111">
        <v>0</v>
      </c>
      <c r="K150" s="111">
        <f t="shared" si="95"/>
        <v>70000</v>
      </c>
      <c r="L150" s="111">
        <f>IF(I150&gt;=Datos!$D$14,(Datos!$D$14*Datos!$C$14),IF(I150&lt;=Datos!$D$14,(I150*Datos!$C$14)))</f>
        <v>2009</v>
      </c>
      <c r="M150" s="112">
        <f>IF((I150-L150-N150)&lt;=Datos!$G$7,"0",IF((I150-L150-N150)&lt;=Datos!$G$8,((I150-L150-N150)-Datos!$F$8)*Datos!$I$6,IF((I150-L150-N150)&lt;=Datos!$G$9,Datos!$I$8+((I150-L150-N150)-Datos!$F$9)*Datos!$J$6,IF((I150-L150-N150)&gt;=Datos!$F$10,(Datos!$I$8+Datos!$J$8)+((I150-L150-N150)-Datos!$F$10)*Datos!$K$6))))</f>
        <v>5368.4756666666663</v>
      </c>
      <c r="N150" s="111">
        <f>IF(I150&gt;=Datos!$D$15,(Datos!$D$15*Datos!$C$15),IF(I150&lt;=Datos!$D$15,(I150*Datos!$C$15)))</f>
        <v>2128</v>
      </c>
      <c r="O150" s="111">
        <v>25</v>
      </c>
      <c r="P150" s="111">
        <f t="shared" si="96"/>
        <v>9530.4756666666653</v>
      </c>
      <c r="Q150" s="113">
        <f t="shared" si="97"/>
        <v>60469.524333333335</v>
      </c>
    </row>
    <row r="151" spans="1:17" s="85" customFormat="1" ht="36.75" customHeight="1" x14ac:dyDescent="0.2">
      <c r="A151" s="303" t="s">
        <v>455</v>
      </c>
      <c r="B151" s="305"/>
      <c r="C151" s="116">
        <v>3</v>
      </c>
      <c r="D151" s="307"/>
      <c r="E151" s="307"/>
      <c r="F151" s="307"/>
      <c r="G151" s="307"/>
      <c r="H151" s="308"/>
      <c r="I151" s="121">
        <f>SUM(I148:I150)</f>
        <v>170000</v>
      </c>
      <c r="J151" s="121">
        <f t="shared" ref="J151:Q151" si="98">SUM(J148:J150)</f>
        <v>0</v>
      </c>
      <c r="K151" s="121">
        <f t="shared" si="98"/>
        <v>170000</v>
      </c>
      <c r="L151" s="121">
        <f t="shared" si="98"/>
        <v>4879</v>
      </c>
      <c r="M151" s="121">
        <f t="shared" si="98"/>
        <v>9076.4726666666647</v>
      </c>
      <c r="N151" s="121">
        <f t="shared" si="98"/>
        <v>5168</v>
      </c>
      <c r="O151" s="121">
        <f t="shared" si="98"/>
        <v>75</v>
      </c>
      <c r="P151" s="121">
        <f t="shared" si="98"/>
        <v>19198.472666666665</v>
      </c>
      <c r="Q151" s="121">
        <f t="shared" si="98"/>
        <v>150801.52733333333</v>
      </c>
    </row>
    <row r="152" spans="1:17" s="7" customFormat="1" ht="36.75" customHeight="1" x14ac:dyDescent="0.2">
      <c r="A152" s="303" t="s">
        <v>641</v>
      </c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6"/>
    </row>
    <row r="153" spans="1:17" s="7" customFormat="1" ht="38.25" customHeight="1" x14ac:dyDescent="0.2">
      <c r="A153" s="106">
        <v>71</v>
      </c>
      <c r="B153" s="122" t="s">
        <v>642</v>
      </c>
      <c r="C153" s="122" t="s">
        <v>284</v>
      </c>
      <c r="D153" s="127" t="s">
        <v>646</v>
      </c>
      <c r="E153" s="108" t="s">
        <v>283</v>
      </c>
      <c r="F153" s="108" t="s">
        <v>19</v>
      </c>
      <c r="G153" s="109">
        <v>45778</v>
      </c>
      <c r="H153" s="123">
        <v>45962</v>
      </c>
      <c r="I153" s="111">
        <v>72600</v>
      </c>
      <c r="J153" s="111">
        <v>0</v>
      </c>
      <c r="K153" s="111">
        <f>SUM(I153:J153)</f>
        <v>72600</v>
      </c>
      <c r="L153" s="111">
        <f>IF(I153&gt;=Datos!$D$14,(Datos!$D$14*Datos!$C$14),IF(I153&lt;=Datos!$D$14,(I153*Datos!$C$14)))</f>
        <v>2083.62</v>
      </c>
      <c r="M153" s="112">
        <f>IF((I153-L153-N153)&lt;=Datos!$G$7,"0",IF((I153-L153-N153)&lt;=Datos!$G$8,((I153-L153-N153)-Datos!$F$8)*Datos!$I$6,IF((I153-L153-N153)&lt;=Datos!$G$9,Datos!$I$8+((I153-L153-N153)-Datos!$F$9)*Datos!$J$6,IF((I153-L153-N153)&gt;=Datos!$F$10,(Datos!$I$8+Datos!$J$8)+((I153-L153-N153)-Datos!$F$10)*Datos!$K$6))))</f>
        <v>5857.743666666669</v>
      </c>
      <c r="N153" s="111">
        <f>IF(I153&gt;=Datos!$D$15,(Datos!$D$15*Datos!$C$15),IF(I153&lt;=Datos!$D$15,(I153*Datos!$C$15)))</f>
        <v>2207.04</v>
      </c>
      <c r="O153" s="111">
        <v>25</v>
      </c>
      <c r="P153" s="111">
        <f>SUM(L153:O153)</f>
        <v>10173.403666666669</v>
      </c>
      <c r="Q153" s="113">
        <f>+K153-P153</f>
        <v>62426.596333333335</v>
      </c>
    </row>
    <row r="154" spans="1:17" s="7" customFormat="1" ht="38.25" customHeight="1" x14ac:dyDescent="0.2">
      <c r="A154" s="106">
        <v>72</v>
      </c>
      <c r="B154" s="122" t="s">
        <v>643</v>
      </c>
      <c r="C154" s="122" t="s">
        <v>284</v>
      </c>
      <c r="D154" s="127" t="s">
        <v>646</v>
      </c>
      <c r="E154" s="108" t="s">
        <v>283</v>
      </c>
      <c r="F154" s="108" t="s">
        <v>19</v>
      </c>
      <c r="G154" s="109">
        <v>45717</v>
      </c>
      <c r="H154" s="123">
        <v>45901</v>
      </c>
      <c r="I154" s="111">
        <v>72600</v>
      </c>
      <c r="J154" s="111">
        <v>0</v>
      </c>
      <c r="K154" s="111">
        <f t="shared" ref="K154:K156" si="99">SUM(I154:J154)</f>
        <v>72600</v>
      </c>
      <c r="L154" s="111">
        <f>IF(I154&gt;=Datos!$D$14,(Datos!$D$14*Datos!$C$14),IF(I154&lt;=Datos!$D$14,(I154*Datos!$C$14)))</f>
        <v>2083.62</v>
      </c>
      <c r="M154" s="112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5857.743666666669</v>
      </c>
      <c r="N154" s="111">
        <f>IF(I154&gt;=Datos!$D$15,(Datos!$D$15*Datos!$C$15),IF(I154&lt;=Datos!$D$15,(I154*Datos!$C$15)))</f>
        <v>2207.04</v>
      </c>
      <c r="O154" s="111">
        <v>25</v>
      </c>
      <c r="P154" s="111">
        <f t="shared" ref="P154:P156" si="100">SUM(L154:O154)</f>
        <v>10173.403666666669</v>
      </c>
      <c r="Q154" s="113">
        <f t="shared" ref="Q154:Q156" si="101">+K154-P154</f>
        <v>62426.596333333335</v>
      </c>
    </row>
    <row r="155" spans="1:17" s="7" customFormat="1" ht="39" customHeight="1" x14ac:dyDescent="0.2">
      <c r="A155" s="106">
        <v>73</v>
      </c>
      <c r="B155" s="122" t="s">
        <v>644</v>
      </c>
      <c r="C155" s="122" t="s">
        <v>284</v>
      </c>
      <c r="D155" s="127" t="s">
        <v>646</v>
      </c>
      <c r="E155" s="108" t="s">
        <v>283</v>
      </c>
      <c r="F155" s="108" t="s">
        <v>19</v>
      </c>
      <c r="G155" s="109">
        <v>45717</v>
      </c>
      <c r="H155" s="123">
        <v>45901</v>
      </c>
      <c r="I155" s="111">
        <v>72600</v>
      </c>
      <c r="J155" s="111">
        <v>0</v>
      </c>
      <c r="K155" s="111">
        <f t="shared" si="99"/>
        <v>72600</v>
      </c>
      <c r="L155" s="111">
        <f>IF(I155&gt;=Datos!$D$14,(Datos!$D$14*Datos!$C$14),IF(I155&lt;=Datos!$D$14,(I155*Datos!$C$14)))</f>
        <v>2083.62</v>
      </c>
      <c r="M155" s="112">
        <f>IF((I155-L155-N155)&lt;=Datos!$G$7,"0",IF((I155-L155-N155)&lt;=Datos!$G$8,((I155-L155-N155)-Datos!$F$8)*Datos!$I$6,IF((I155-L155-N155)&lt;=Datos!$G$9,Datos!$I$8+((I155-L155-N155)-Datos!$F$9)*Datos!$J$6,IF((I155-L155-N155)&gt;=Datos!$F$10,(Datos!$I$8+Datos!$J$8)+((I155-L155-N155)-Datos!$F$10)*Datos!$K$6))))</f>
        <v>5857.743666666669</v>
      </c>
      <c r="N155" s="111">
        <f>IF(I155&gt;=Datos!$D$15,(Datos!$D$15*Datos!$C$15),IF(I155&lt;=Datos!$D$15,(I155*Datos!$C$15)))</f>
        <v>2207.04</v>
      </c>
      <c r="O155" s="111">
        <v>25</v>
      </c>
      <c r="P155" s="111">
        <f t="shared" si="100"/>
        <v>10173.403666666669</v>
      </c>
      <c r="Q155" s="113">
        <f t="shared" si="101"/>
        <v>62426.596333333335</v>
      </c>
    </row>
    <row r="156" spans="1:17" s="7" customFormat="1" ht="38.25" customHeight="1" x14ac:dyDescent="0.2">
      <c r="A156" s="106">
        <v>74</v>
      </c>
      <c r="B156" s="122" t="s">
        <v>645</v>
      </c>
      <c r="C156" s="122" t="s">
        <v>284</v>
      </c>
      <c r="D156" s="127" t="s">
        <v>646</v>
      </c>
      <c r="E156" s="108" t="s">
        <v>283</v>
      </c>
      <c r="F156" s="108" t="s">
        <v>19</v>
      </c>
      <c r="G156" s="109">
        <v>45717</v>
      </c>
      <c r="H156" s="123">
        <v>45901</v>
      </c>
      <c r="I156" s="111">
        <v>72600</v>
      </c>
      <c r="J156" s="111">
        <v>0</v>
      </c>
      <c r="K156" s="111">
        <f t="shared" si="99"/>
        <v>72600</v>
      </c>
      <c r="L156" s="111">
        <f>IF(I156&gt;=Datos!$D$14,(Datos!$D$14*Datos!$C$14),IF(I156&lt;=Datos!$D$14,(I156*Datos!$C$14)))</f>
        <v>2083.62</v>
      </c>
      <c r="M156" s="112">
        <f>IF((I156-L156-N156)&lt;=Datos!$G$7,"0",IF((I156-L156-N156)&lt;=Datos!$G$8,((I156-L156-N156)-Datos!$F$8)*Datos!$I$6,IF((I156-L156-N156)&lt;=Datos!$G$9,Datos!$I$8+((I156-L156-N156)-Datos!$F$9)*Datos!$J$6,IF((I156-L156-N156)&gt;=Datos!$F$10,(Datos!$I$8+Datos!$J$8)+((I156-L156-N156)-Datos!$F$10)*Datos!$K$6))))</f>
        <v>5857.743666666669</v>
      </c>
      <c r="N156" s="111">
        <f>IF(I156&gt;=Datos!$D$15,(Datos!$D$15*Datos!$C$15),IF(I156&lt;=Datos!$D$15,(I156*Datos!$C$15)))</f>
        <v>2207.04</v>
      </c>
      <c r="O156" s="111">
        <v>25</v>
      </c>
      <c r="P156" s="111">
        <f t="shared" si="100"/>
        <v>10173.403666666669</v>
      </c>
      <c r="Q156" s="113">
        <f t="shared" si="101"/>
        <v>62426.596333333335</v>
      </c>
    </row>
    <row r="157" spans="1:17" s="85" customFormat="1" ht="36.75" customHeight="1" x14ac:dyDescent="0.2">
      <c r="A157" s="303" t="s">
        <v>455</v>
      </c>
      <c r="B157" s="305"/>
      <c r="C157" s="116">
        <v>4</v>
      </c>
      <c r="D157" s="307"/>
      <c r="E157" s="307"/>
      <c r="F157" s="307"/>
      <c r="G157" s="307"/>
      <c r="H157" s="308"/>
      <c r="I157" s="121">
        <f>SUM(I153:I156)</f>
        <v>290400</v>
      </c>
      <c r="J157" s="121">
        <f t="shared" ref="J157:Q157" si="102">SUM(J153:J156)</f>
        <v>0</v>
      </c>
      <c r="K157" s="121">
        <f t="shared" si="102"/>
        <v>290400</v>
      </c>
      <c r="L157" s="121">
        <f t="shared" si="102"/>
        <v>8334.48</v>
      </c>
      <c r="M157" s="121">
        <f t="shared" si="102"/>
        <v>23430.974666666676</v>
      </c>
      <c r="N157" s="121">
        <f t="shared" si="102"/>
        <v>8828.16</v>
      </c>
      <c r="O157" s="121">
        <f t="shared" si="102"/>
        <v>100</v>
      </c>
      <c r="P157" s="121">
        <f t="shared" si="102"/>
        <v>40693.614666666675</v>
      </c>
      <c r="Q157" s="121">
        <f t="shared" si="102"/>
        <v>249706.38533333334</v>
      </c>
    </row>
    <row r="158" spans="1:17" s="7" customFormat="1" ht="36.75" customHeight="1" x14ac:dyDescent="0.2">
      <c r="A158" s="303" t="s">
        <v>720</v>
      </c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6"/>
    </row>
    <row r="159" spans="1:17" s="7" customFormat="1" ht="38.25" customHeight="1" x14ac:dyDescent="0.2">
      <c r="A159" s="106">
        <v>75</v>
      </c>
      <c r="B159" s="122" t="s">
        <v>719</v>
      </c>
      <c r="C159" s="122" t="s">
        <v>285</v>
      </c>
      <c r="D159" s="127" t="s">
        <v>646</v>
      </c>
      <c r="E159" s="108" t="s">
        <v>283</v>
      </c>
      <c r="F159" s="108" t="s">
        <v>19</v>
      </c>
      <c r="G159" s="109">
        <v>45809</v>
      </c>
      <c r="H159" s="123">
        <v>45992</v>
      </c>
      <c r="I159" s="111">
        <v>35000</v>
      </c>
      <c r="J159" s="111">
        <v>0</v>
      </c>
      <c r="K159" s="111">
        <f>SUM(I159:J159)</f>
        <v>35000</v>
      </c>
      <c r="L159" s="111">
        <f>IF(I159&gt;=Datos!$D$14,(Datos!$D$14*Datos!$C$14),IF(I159&lt;=Datos!$D$14,(I159*Datos!$C$14)))</f>
        <v>1004.5</v>
      </c>
      <c r="M159" s="112" t="str">
        <f>IF((I159-L159-N159)&lt;=Datos!$G$7,"0",IF((I159-L159-N159)&lt;=Datos!$G$8,((I159-L159-N159)-Datos!$F$8)*Datos!$I$6,IF((I159-L159-N159)&lt;=Datos!$G$9,Datos!$I$8+((I159-L159-N159)-Datos!$F$9)*Datos!$J$6,IF((I159-L159-N159)&gt;=Datos!$F$10,(Datos!$I$8+Datos!$J$8)+((I159-L159-N159)-Datos!$F$10)*Datos!$K$6))))</f>
        <v>0</v>
      </c>
      <c r="N159" s="111">
        <f>IF(I159&gt;=Datos!$D$15,(Datos!$D$15*Datos!$C$15),IF(I159&lt;=Datos!$D$15,(I159*Datos!$C$15)))</f>
        <v>1064</v>
      </c>
      <c r="O159" s="111">
        <v>25</v>
      </c>
      <c r="P159" s="111">
        <f>SUM(L159:O159)</f>
        <v>2093.5</v>
      </c>
      <c r="Q159" s="113">
        <f>+K159-P159</f>
        <v>32906.5</v>
      </c>
    </row>
    <row r="160" spans="1:17" s="85" customFormat="1" ht="36.75" customHeight="1" x14ac:dyDescent="0.2">
      <c r="A160" s="303" t="s">
        <v>455</v>
      </c>
      <c r="B160" s="305"/>
      <c r="C160" s="116">
        <v>1</v>
      </c>
      <c r="D160" s="307"/>
      <c r="E160" s="307"/>
      <c r="F160" s="307"/>
      <c r="G160" s="307"/>
      <c r="H160" s="308"/>
      <c r="I160" s="121">
        <f>SUM(I159)</f>
        <v>35000</v>
      </c>
      <c r="J160" s="121">
        <f t="shared" ref="J160:Q160" si="103">SUM(J159)</f>
        <v>0</v>
      </c>
      <c r="K160" s="121">
        <f t="shared" si="103"/>
        <v>35000</v>
      </c>
      <c r="L160" s="121">
        <f t="shared" si="103"/>
        <v>1004.5</v>
      </c>
      <c r="M160" s="121">
        <f t="shared" si="103"/>
        <v>0</v>
      </c>
      <c r="N160" s="121">
        <f t="shared" si="103"/>
        <v>1064</v>
      </c>
      <c r="O160" s="121">
        <f t="shared" si="103"/>
        <v>25</v>
      </c>
      <c r="P160" s="121">
        <f t="shared" si="103"/>
        <v>2093.5</v>
      </c>
      <c r="Q160" s="121">
        <f t="shared" si="103"/>
        <v>32906.5</v>
      </c>
    </row>
    <row r="161" spans="1:17" s="7" customFormat="1" ht="36.75" customHeight="1" x14ac:dyDescent="0.2">
      <c r="A161" s="303" t="s">
        <v>601</v>
      </c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6"/>
    </row>
    <row r="162" spans="1:17" s="7" customFormat="1" ht="38.25" customHeight="1" x14ac:dyDescent="0.2">
      <c r="A162" s="106">
        <v>76</v>
      </c>
      <c r="B162" s="122" t="s">
        <v>683</v>
      </c>
      <c r="C162" s="122" t="s">
        <v>332</v>
      </c>
      <c r="D162" s="127" t="s">
        <v>646</v>
      </c>
      <c r="E162" s="108" t="s">
        <v>283</v>
      </c>
      <c r="F162" s="108" t="s">
        <v>281</v>
      </c>
      <c r="G162" s="109">
        <v>45748</v>
      </c>
      <c r="H162" s="123">
        <v>45931</v>
      </c>
      <c r="I162" s="111">
        <v>72600</v>
      </c>
      <c r="J162" s="111">
        <v>0</v>
      </c>
      <c r="K162" s="111">
        <f>SUM(I162:J162)</f>
        <v>72600</v>
      </c>
      <c r="L162" s="111">
        <f>IF(I162&gt;=Datos!$D$14,(Datos!$D$14*Datos!$C$14),IF(I162&lt;=Datos!$D$14,(I162*Datos!$C$14)))</f>
        <v>2083.62</v>
      </c>
      <c r="M162" s="112">
        <f>IF((I162-L162-N162)&lt;=Datos!$G$7,"0",IF((I162-L162-N162)&lt;=Datos!$G$8,((I162-L162-N162)-Datos!$F$8)*Datos!$I$6,IF((I162-L162-N162)&lt;=Datos!$G$9,Datos!$I$8+((I162-L162-N162)-Datos!$F$9)*Datos!$J$6,IF((I162-L162-N162)&gt;=Datos!$F$10,(Datos!$I$8+Datos!$J$8)+((I162-L162-N162)-Datos!$F$10)*Datos!$K$6))))</f>
        <v>5857.743666666669</v>
      </c>
      <c r="N162" s="111">
        <f>IF(I162&gt;=Datos!$D$15,(Datos!$D$15*Datos!$C$15),IF(I162&lt;=Datos!$D$15,(I162*Datos!$C$15)))</f>
        <v>2207.04</v>
      </c>
      <c r="O162" s="111">
        <v>25</v>
      </c>
      <c r="P162" s="111">
        <f>SUM(L162:O162)</f>
        <v>10173.403666666669</v>
      </c>
      <c r="Q162" s="113">
        <f>+K162-P162</f>
        <v>62426.596333333335</v>
      </c>
    </row>
    <row r="163" spans="1:17" s="85" customFormat="1" ht="36.75" customHeight="1" x14ac:dyDescent="0.2">
      <c r="A163" s="303" t="s">
        <v>455</v>
      </c>
      <c r="B163" s="305"/>
      <c r="C163" s="116">
        <v>1</v>
      </c>
      <c r="D163" s="307"/>
      <c r="E163" s="307"/>
      <c r="F163" s="307"/>
      <c r="G163" s="307"/>
      <c r="H163" s="308"/>
      <c r="I163" s="121">
        <f>SUM(I162)</f>
        <v>72600</v>
      </c>
      <c r="J163" s="121">
        <f t="shared" ref="J163:Q163" si="104">SUM(J162)</f>
        <v>0</v>
      </c>
      <c r="K163" s="121">
        <f t="shared" si="104"/>
        <v>72600</v>
      </c>
      <c r="L163" s="121">
        <f t="shared" si="104"/>
        <v>2083.62</v>
      </c>
      <c r="M163" s="121">
        <f t="shared" si="104"/>
        <v>5857.743666666669</v>
      </c>
      <c r="N163" s="121">
        <f t="shared" si="104"/>
        <v>2207.04</v>
      </c>
      <c r="O163" s="121">
        <f t="shared" si="104"/>
        <v>25</v>
      </c>
      <c r="P163" s="121">
        <f t="shared" si="104"/>
        <v>10173.403666666669</v>
      </c>
      <c r="Q163" s="121">
        <f t="shared" si="104"/>
        <v>62426.596333333335</v>
      </c>
    </row>
    <row r="164" spans="1:17" s="7" customFormat="1" ht="36.75" customHeight="1" x14ac:dyDescent="0.2">
      <c r="A164" s="303" t="s">
        <v>677</v>
      </c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6"/>
    </row>
    <row r="165" spans="1:17" ht="38.25" customHeight="1" x14ac:dyDescent="0.2">
      <c r="A165" s="98">
        <v>77</v>
      </c>
      <c r="B165" s="99" t="s">
        <v>817</v>
      </c>
      <c r="C165" s="99" t="s">
        <v>794</v>
      </c>
      <c r="D165" s="137" t="s">
        <v>710</v>
      </c>
      <c r="E165" s="100" t="s">
        <v>283</v>
      </c>
      <c r="F165" s="100" t="s">
        <v>19</v>
      </c>
      <c r="G165" s="101">
        <v>45717</v>
      </c>
      <c r="H165" s="102">
        <v>45901</v>
      </c>
      <c r="I165" s="103">
        <v>60000</v>
      </c>
      <c r="J165" s="103">
        <v>0</v>
      </c>
      <c r="K165" s="103">
        <f t="shared" ref="K165:K166" si="105">SUM(I165:J165)</f>
        <v>60000</v>
      </c>
      <c r="L165" s="103">
        <f>IF(I165&gt;=Datos!$D$14,(Datos!$D$14*Datos!$C$14),IF(I165&lt;=Datos!$D$14,(I165*Datos!$C$14)))</f>
        <v>1722</v>
      </c>
      <c r="M165" s="104">
        <f>IF((I165-L165-N165)&lt;=Datos!$G$7,"0",IF((I165-L165-N165)&lt;=Datos!$G$8,((I165-L165-N165)-Datos!$F$8)*Datos!$I$6,IF((I165-L165-N165)&lt;=Datos!$G$9,Datos!$I$8+((I165-L165-N165)-Datos!$F$9)*Datos!$J$6,IF((I165-L165-N165)&gt;=Datos!$F$10,(Datos!$I$8+Datos!$J$8)+((I165-L165-N165)-Datos!$F$10)*Datos!$K$6))))</f>
        <v>3486.6756666666661</v>
      </c>
      <c r="N165" s="103">
        <f>IF(I165&gt;=Datos!$D$15,(Datos!$D$15*Datos!$C$15),IF(I165&lt;=Datos!$D$15,(I165*Datos!$C$15)))</f>
        <v>1824</v>
      </c>
      <c r="O165" s="103">
        <v>25</v>
      </c>
      <c r="P165" s="103">
        <f t="shared" ref="P165:P167" si="106">SUM(L165:O165)</f>
        <v>7057.6756666666661</v>
      </c>
      <c r="Q165" s="105">
        <f t="shared" ref="Q165:Q167" si="107">+K165-P165</f>
        <v>52942.324333333338</v>
      </c>
    </row>
    <row r="166" spans="1:17" ht="38.25" customHeight="1" x14ac:dyDescent="0.2">
      <c r="A166" s="98">
        <v>78</v>
      </c>
      <c r="B166" s="99" t="s">
        <v>818</v>
      </c>
      <c r="C166" s="99" t="s">
        <v>794</v>
      </c>
      <c r="D166" s="137" t="s">
        <v>710</v>
      </c>
      <c r="E166" s="100" t="s">
        <v>283</v>
      </c>
      <c r="F166" s="100" t="s">
        <v>19</v>
      </c>
      <c r="G166" s="101">
        <v>45717</v>
      </c>
      <c r="H166" s="102">
        <v>45901</v>
      </c>
      <c r="I166" s="103">
        <v>60000</v>
      </c>
      <c r="J166" s="103">
        <v>0</v>
      </c>
      <c r="K166" s="103">
        <f t="shared" si="105"/>
        <v>60000</v>
      </c>
      <c r="L166" s="103">
        <f>IF(I166&gt;=Datos!$D$14,(Datos!$D$14*Datos!$C$14),IF(I166&lt;=Datos!$D$14,(I166*Datos!$C$14)))</f>
        <v>1722</v>
      </c>
      <c r="M166" s="104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3486.6756666666661</v>
      </c>
      <c r="N166" s="103">
        <f>IF(I166&gt;=Datos!$D$15,(Datos!$D$15*Datos!$C$15),IF(I166&lt;=Datos!$D$15,(I166*Datos!$C$15)))</f>
        <v>1824</v>
      </c>
      <c r="O166" s="103">
        <v>25</v>
      </c>
      <c r="P166" s="103">
        <f t="shared" si="106"/>
        <v>7057.6756666666661</v>
      </c>
      <c r="Q166" s="105">
        <f t="shared" si="107"/>
        <v>52942.324333333338</v>
      </c>
    </row>
    <row r="167" spans="1:17" ht="38.25" customHeight="1" x14ac:dyDescent="0.2">
      <c r="A167" s="98">
        <v>79</v>
      </c>
      <c r="B167" s="99" t="s">
        <v>892</v>
      </c>
      <c r="C167" s="99" t="s">
        <v>794</v>
      </c>
      <c r="D167" s="137" t="s">
        <v>452</v>
      </c>
      <c r="E167" s="100" t="s">
        <v>283</v>
      </c>
      <c r="F167" s="100" t="s">
        <v>19</v>
      </c>
      <c r="G167" s="101">
        <v>45748</v>
      </c>
      <c r="H167" s="102">
        <v>45931</v>
      </c>
      <c r="I167" s="103">
        <v>35000</v>
      </c>
      <c r="J167" s="103">
        <v>0</v>
      </c>
      <c r="K167" s="103">
        <f t="shared" ref="K167" si="108">SUM(I167:J167)</f>
        <v>35000</v>
      </c>
      <c r="L167" s="103">
        <f>IF(I167&gt;=Datos!$D$14,(Datos!$D$14*Datos!$C$14),IF(I167&lt;=Datos!$D$14,(I167*Datos!$C$14)))</f>
        <v>1004.5</v>
      </c>
      <c r="M167" s="104" t="str">
        <f>IF((I167-L167-N167)&lt;=Datos!$G$7,"0",IF((I167-L167-N167)&lt;=Datos!$G$8,((I167-L167-N167)-Datos!$F$8)*Datos!$I$6,IF((I167-L167-N167)&lt;=Datos!$G$9,Datos!$I$8+((I167-L167-N167)-Datos!$F$9)*Datos!$J$6,IF((I167-L167-N167)&gt;=Datos!$F$10,(Datos!$I$8+Datos!$J$8)+((I167-L167-N167)-Datos!$F$10)*Datos!$K$6))))</f>
        <v>0</v>
      </c>
      <c r="N167" s="103">
        <f>IF(I167&gt;=Datos!$D$15,(Datos!$D$15*Datos!$C$15),IF(I167&lt;=Datos!$D$15,(I167*Datos!$C$15)))</f>
        <v>1064</v>
      </c>
      <c r="O167" s="103">
        <v>25</v>
      </c>
      <c r="P167" s="103">
        <f t="shared" si="106"/>
        <v>2093.5</v>
      </c>
      <c r="Q167" s="105">
        <f t="shared" si="107"/>
        <v>32906.5</v>
      </c>
    </row>
    <row r="168" spans="1:17" s="85" customFormat="1" ht="36.75" customHeight="1" x14ac:dyDescent="0.2">
      <c r="A168" s="303" t="s">
        <v>455</v>
      </c>
      <c r="B168" s="305"/>
      <c r="C168" s="116">
        <v>3</v>
      </c>
      <c r="D168" s="307"/>
      <c r="E168" s="307"/>
      <c r="F168" s="307"/>
      <c r="G168" s="307"/>
      <c r="H168" s="308"/>
      <c r="I168" s="121">
        <f>SUM(I165:I167)</f>
        <v>155000</v>
      </c>
      <c r="J168" s="121">
        <f t="shared" ref="J168:Q168" si="109">SUM(J165:J167)</f>
        <v>0</v>
      </c>
      <c r="K168" s="121">
        <f t="shared" si="109"/>
        <v>155000</v>
      </c>
      <c r="L168" s="121">
        <f t="shared" si="109"/>
        <v>4448.5</v>
      </c>
      <c r="M168" s="121">
        <f t="shared" si="109"/>
        <v>6973.3513333333321</v>
      </c>
      <c r="N168" s="121">
        <f t="shared" si="109"/>
        <v>4712</v>
      </c>
      <c r="O168" s="121">
        <f t="shared" si="109"/>
        <v>75</v>
      </c>
      <c r="P168" s="121">
        <f t="shared" si="109"/>
        <v>16208.851333333332</v>
      </c>
      <c r="Q168" s="121">
        <f t="shared" si="109"/>
        <v>138791.14866666668</v>
      </c>
    </row>
    <row r="169" spans="1:17" s="7" customFormat="1" ht="36.75" customHeight="1" x14ac:dyDescent="0.2">
      <c r="A169" s="303" t="s">
        <v>869</v>
      </c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6"/>
    </row>
    <row r="170" spans="1:17" s="7" customFormat="1" ht="38.25" customHeight="1" x14ac:dyDescent="0.2">
      <c r="A170" s="106">
        <v>80</v>
      </c>
      <c r="B170" s="122" t="s">
        <v>865</v>
      </c>
      <c r="C170" s="122" t="s">
        <v>284</v>
      </c>
      <c r="D170" s="127" t="s">
        <v>452</v>
      </c>
      <c r="E170" s="108" t="s">
        <v>283</v>
      </c>
      <c r="F170" s="108" t="s">
        <v>19</v>
      </c>
      <c r="G170" s="109">
        <v>45748</v>
      </c>
      <c r="H170" s="123">
        <v>45931</v>
      </c>
      <c r="I170" s="111">
        <v>35000</v>
      </c>
      <c r="J170" s="111">
        <v>0</v>
      </c>
      <c r="K170" s="111">
        <f t="shared" ref="K170:K172" si="110">SUM(I170:J170)</f>
        <v>35000</v>
      </c>
      <c r="L170" s="111">
        <f>IF(I170&gt;=Datos!$D$14,(Datos!$D$14*Datos!$C$14),IF(I170&lt;=Datos!$D$14,(I170*Datos!$C$14)))</f>
        <v>1004.5</v>
      </c>
      <c r="M170" s="112" t="str">
        <f>IF((I170-L170-N170)&lt;=Datos!$G$7,"0",IF((I170-L170-N170)&lt;=Datos!$G$8,((I170-L170-N170)-Datos!$F$8)*Datos!$I$6,IF((I170-L170-N170)&lt;=Datos!$G$9,Datos!$I$8+((I170-L170-N170)-Datos!$F$9)*Datos!$J$6,IF((I170-L170-N170)&gt;=Datos!$F$10,(Datos!$I$8+Datos!$J$8)+((I170-L170-N170)-Datos!$F$10)*Datos!$K$6))))</f>
        <v>0</v>
      </c>
      <c r="N170" s="111">
        <f>IF(I170&gt;=Datos!$D$15,(Datos!$D$15*Datos!$C$15),IF(I170&lt;=Datos!$D$15,(I170*Datos!$C$15)))</f>
        <v>1064</v>
      </c>
      <c r="O170" s="111">
        <v>25</v>
      </c>
      <c r="P170" s="111">
        <f t="shared" ref="P170:P172" si="111">SUM(L170:O170)</f>
        <v>2093.5</v>
      </c>
      <c r="Q170" s="113">
        <f t="shared" ref="Q170:Q172" si="112">+K170-P170</f>
        <v>32906.5</v>
      </c>
    </row>
    <row r="171" spans="1:17" s="7" customFormat="1" ht="38.25" customHeight="1" x14ac:dyDescent="0.2">
      <c r="A171" s="106">
        <v>81</v>
      </c>
      <c r="B171" s="122" t="s">
        <v>866</v>
      </c>
      <c r="C171" s="122" t="s">
        <v>284</v>
      </c>
      <c r="D171" s="127" t="s">
        <v>870</v>
      </c>
      <c r="E171" s="108" t="s">
        <v>283</v>
      </c>
      <c r="F171" s="108" t="s">
        <v>19</v>
      </c>
      <c r="G171" s="109">
        <v>45748</v>
      </c>
      <c r="H171" s="123">
        <v>45931</v>
      </c>
      <c r="I171" s="111">
        <v>60000</v>
      </c>
      <c r="J171" s="111">
        <v>0</v>
      </c>
      <c r="K171" s="111">
        <f t="shared" si="110"/>
        <v>60000</v>
      </c>
      <c r="L171" s="111">
        <f>IF(I171&gt;=Datos!$D$14,(Datos!$D$14*Datos!$C$14),IF(I171&lt;=Datos!$D$14,(I171*Datos!$C$14)))</f>
        <v>1722</v>
      </c>
      <c r="M171" s="112">
        <f>IF((I171-L171-N171)&lt;=Datos!$G$7,"0",IF((I171-L171-N171)&lt;=Datos!$G$8,((I171-L171-N171)-Datos!$F$8)*Datos!$I$6,IF((I171-L171-N171)&lt;=Datos!$G$9,Datos!$I$8+((I171-L171-N171)-Datos!$F$9)*Datos!$J$6,IF((I171-L171-N171)&gt;=Datos!$F$10,(Datos!$I$8+Datos!$J$8)+((I171-L171-N171)-Datos!$F$10)*Datos!$K$6))))</f>
        <v>3486.6756666666661</v>
      </c>
      <c r="N171" s="111">
        <f>IF(I171&gt;=Datos!$D$15,(Datos!$D$15*Datos!$C$15),IF(I171&lt;=Datos!$D$15,(I171*Datos!$C$15)))</f>
        <v>1824</v>
      </c>
      <c r="O171" s="111">
        <v>25</v>
      </c>
      <c r="P171" s="111">
        <f t="shared" si="111"/>
        <v>7057.6756666666661</v>
      </c>
      <c r="Q171" s="113">
        <f t="shared" si="112"/>
        <v>52942.324333333338</v>
      </c>
    </row>
    <row r="172" spans="1:17" s="7" customFormat="1" ht="38.25" customHeight="1" x14ac:dyDescent="0.2">
      <c r="A172" s="106">
        <v>82</v>
      </c>
      <c r="B172" s="122" t="s">
        <v>867</v>
      </c>
      <c r="C172" s="122" t="s">
        <v>284</v>
      </c>
      <c r="D172" s="127" t="s">
        <v>622</v>
      </c>
      <c r="E172" s="108" t="s">
        <v>283</v>
      </c>
      <c r="F172" s="108" t="s">
        <v>281</v>
      </c>
      <c r="G172" s="109">
        <v>45748</v>
      </c>
      <c r="H172" s="123">
        <v>45931</v>
      </c>
      <c r="I172" s="111">
        <v>60000</v>
      </c>
      <c r="J172" s="111">
        <v>0</v>
      </c>
      <c r="K172" s="111">
        <f t="shared" si="110"/>
        <v>60000</v>
      </c>
      <c r="L172" s="111">
        <f>IF(I172&gt;=Datos!$D$14,(Datos!$D$14*Datos!$C$14),IF(I172&lt;=Datos!$D$14,(I172*Datos!$C$14)))</f>
        <v>1722</v>
      </c>
      <c r="M172" s="112">
        <f>IF((I172-L172-N172)&lt;=Datos!$G$7,"0",IF((I172-L172-N172)&lt;=Datos!$G$8,((I172-L172-N172)-Datos!$F$8)*Datos!$I$6,IF((I172-L172-N172)&lt;=Datos!$G$9,Datos!$I$8+((I172-L172-N172)-Datos!$F$9)*Datos!$J$6,IF((I172-L172-N172)&gt;=Datos!$F$10,(Datos!$I$8+Datos!$J$8)+((I172-L172-N172)-Datos!$F$10)*Datos!$K$6))))</f>
        <v>3486.6756666666661</v>
      </c>
      <c r="N172" s="111">
        <f>IF(I172&gt;=Datos!$D$15,(Datos!$D$15*Datos!$C$15),IF(I172&lt;=Datos!$D$15,(I172*Datos!$C$15)))</f>
        <v>1824</v>
      </c>
      <c r="O172" s="111">
        <v>25</v>
      </c>
      <c r="P172" s="111">
        <f t="shared" si="111"/>
        <v>7057.6756666666661</v>
      </c>
      <c r="Q172" s="113">
        <f t="shared" si="112"/>
        <v>52942.324333333338</v>
      </c>
    </row>
    <row r="173" spans="1:17" s="7" customFormat="1" ht="38.25" customHeight="1" x14ac:dyDescent="0.2">
      <c r="A173" s="106">
        <v>83</v>
      </c>
      <c r="B173" s="122" t="s">
        <v>868</v>
      </c>
      <c r="C173" s="122" t="s">
        <v>284</v>
      </c>
      <c r="D173" s="127" t="s">
        <v>288</v>
      </c>
      <c r="E173" s="108" t="s">
        <v>283</v>
      </c>
      <c r="F173" s="108" t="s">
        <v>19</v>
      </c>
      <c r="G173" s="109">
        <v>45717</v>
      </c>
      <c r="H173" s="123">
        <v>45901</v>
      </c>
      <c r="I173" s="111">
        <v>60000</v>
      </c>
      <c r="J173" s="111">
        <v>0</v>
      </c>
      <c r="K173" s="111">
        <f>SUM(I173:J173)</f>
        <v>60000</v>
      </c>
      <c r="L173" s="111">
        <f>IF(I173&gt;=Datos!$D$14,(Datos!$D$14*Datos!$C$14),IF(I173&lt;=Datos!$D$14,(I173*Datos!$C$14)))</f>
        <v>1722</v>
      </c>
      <c r="M173" s="112">
        <f>IF((I173-L173-N173)&lt;=Datos!$G$7,"0",IF((I173-L173-N173)&lt;=Datos!$G$8,((I173-L173-N173)-Datos!$F$8)*Datos!$I$6,IF((I173-L173-N173)&lt;=Datos!$G$9,Datos!$I$8+((I173-L173-N173)-Datos!$F$9)*Datos!$J$6,IF((I173-L173-N173)&gt;=Datos!$F$10,(Datos!$I$8+Datos!$J$8)+((I173-L173-N173)-Datos!$F$10)*Datos!$K$6))))</f>
        <v>3486.6756666666661</v>
      </c>
      <c r="N173" s="111">
        <f>IF(I173&gt;=Datos!$D$15,(Datos!$D$15*Datos!$C$15),IF(I173&lt;=Datos!$D$15,(I173*Datos!$C$15)))</f>
        <v>1824</v>
      </c>
      <c r="O173" s="111">
        <v>25</v>
      </c>
      <c r="P173" s="111">
        <f>SUM(L173:O173)</f>
        <v>7057.6756666666661</v>
      </c>
      <c r="Q173" s="113">
        <f>+K173-P173</f>
        <v>52942.324333333338</v>
      </c>
    </row>
    <row r="174" spans="1:17" s="85" customFormat="1" ht="36.75" customHeight="1" x14ac:dyDescent="0.2">
      <c r="A174" s="303" t="s">
        <v>455</v>
      </c>
      <c r="B174" s="305"/>
      <c r="C174" s="116">
        <v>4</v>
      </c>
      <c r="D174" s="307"/>
      <c r="E174" s="307"/>
      <c r="F174" s="307"/>
      <c r="G174" s="307"/>
      <c r="H174" s="308"/>
      <c r="I174" s="121">
        <f>SUM(I170:I173)</f>
        <v>215000</v>
      </c>
      <c r="J174" s="121">
        <f t="shared" ref="J174:Q174" si="113">SUM(J170:J173)</f>
        <v>0</v>
      </c>
      <c r="K174" s="121">
        <f t="shared" si="113"/>
        <v>215000</v>
      </c>
      <c r="L174" s="121">
        <f t="shared" si="113"/>
        <v>6170.5</v>
      </c>
      <c r="M174" s="121">
        <f t="shared" si="113"/>
        <v>10460.026999999998</v>
      </c>
      <c r="N174" s="121">
        <f t="shared" si="113"/>
        <v>6536</v>
      </c>
      <c r="O174" s="121">
        <f t="shared" si="113"/>
        <v>100</v>
      </c>
      <c r="P174" s="121">
        <f t="shared" si="113"/>
        <v>23266.526999999998</v>
      </c>
      <c r="Q174" s="121">
        <f t="shared" si="113"/>
        <v>191733.473</v>
      </c>
    </row>
    <row r="175" spans="1:17" s="7" customFormat="1" ht="36.75" customHeight="1" x14ac:dyDescent="0.2">
      <c r="A175" s="303" t="s">
        <v>648</v>
      </c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  <c r="N175" s="305"/>
      <c r="O175" s="305"/>
      <c r="P175" s="305"/>
      <c r="Q175" s="306"/>
    </row>
    <row r="176" spans="1:17" s="7" customFormat="1" ht="38.25" customHeight="1" x14ac:dyDescent="0.2">
      <c r="A176" s="106">
        <v>84</v>
      </c>
      <c r="B176" s="122" t="s">
        <v>647</v>
      </c>
      <c r="C176" s="122" t="s">
        <v>286</v>
      </c>
      <c r="D176" s="127" t="s">
        <v>288</v>
      </c>
      <c r="E176" s="108" t="s">
        <v>283</v>
      </c>
      <c r="F176" s="108" t="s">
        <v>19</v>
      </c>
      <c r="G176" s="109">
        <v>45717</v>
      </c>
      <c r="H176" s="123">
        <v>45901</v>
      </c>
      <c r="I176" s="111">
        <v>72600</v>
      </c>
      <c r="J176" s="111">
        <v>0</v>
      </c>
      <c r="K176" s="111">
        <f>SUM(I176:J176)</f>
        <v>72600</v>
      </c>
      <c r="L176" s="111">
        <f>IF(I176&gt;=Datos!$D$14,(Datos!$D$14*Datos!$C$14),IF(I176&lt;=Datos!$D$14,(I176*Datos!$C$14)))</f>
        <v>2083.62</v>
      </c>
      <c r="M176" s="112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5857.743666666669</v>
      </c>
      <c r="N176" s="111">
        <f>IF(I176&gt;=Datos!$D$15,(Datos!$D$15*Datos!$C$15),IF(I176&lt;=Datos!$D$15,(I176*Datos!$C$15)))</f>
        <v>2207.04</v>
      </c>
      <c r="O176" s="111">
        <v>2025</v>
      </c>
      <c r="P176" s="111">
        <f>SUM(L176:O176)</f>
        <v>12173.403666666669</v>
      </c>
      <c r="Q176" s="113">
        <f>+K176-P176</f>
        <v>60426.596333333335</v>
      </c>
    </row>
    <row r="177" spans="1:17" s="85" customFormat="1" ht="36.75" customHeight="1" x14ac:dyDescent="0.2">
      <c r="A177" s="303" t="s">
        <v>455</v>
      </c>
      <c r="B177" s="305"/>
      <c r="C177" s="116">
        <v>1</v>
      </c>
      <c r="D177" s="307"/>
      <c r="E177" s="307"/>
      <c r="F177" s="307"/>
      <c r="G177" s="307"/>
      <c r="H177" s="308"/>
      <c r="I177" s="121">
        <f>SUM(I176)</f>
        <v>72600</v>
      </c>
      <c r="J177" s="121">
        <f t="shared" ref="J177:Q177" si="114">SUM(J176)</f>
        <v>0</v>
      </c>
      <c r="K177" s="121">
        <f t="shared" si="114"/>
        <v>72600</v>
      </c>
      <c r="L177" s="121">
        <f t="shared" si="114"/>
        <v>2083.62</v>
      </c>
      <c r="M177" s="121">
        <f t="shared" si="114"/>
        <v>5857.743666666669</v>
      </c>
      <c r="N177" s="121">
        <f t="shared" si="114"/>
        <v>2207.04</v>
      </c>
      <c r="O177" s="121">
        <f t="shared" si="114"/>
        <v>2025</v>
      </c>
      <c r="P177" s="121">
        <f t="shared" si="114"/>
        <v>12173.403666666669</v>
      </c>
      <c r="Q177" s="121">
        <f t="shared" si="114"/>
        <v>60426.596333333335</v>
      </c>
    </row>
    <row r="178" spans="1:17" s="7" customFormat="1" ht="36.75" customHeight="1" x14ac:dyDescent="0.2">
      <c r="A178" s="303" t="s">
        <v>744</v>
      </c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6"/>
    </row>
    <row r="179" spans="1:17" s="7" customFormat="1" ht="38.25" customHeight="1" x14ac:dyDescent="0.2">
      <c r="A179" s="106">
        <v>85</v>
      </c>
      <c r="B179" s="122" t="s">
        <v>721</v>
      </c>
      <c r="C179" s="122" t="s">
        <v>285</v>
      </c>
      <c r="D179" s="127" t="s">
        <v>452</v>
      </c>
      <c r="E179" s="108" t="s">
        <v>283</v>
      </c>
      <c r="F179" s="108" t="s">
        <v>19</v>
      </c>
      <c r="G179" s="109">
        <v>45809</v>
      </c>
      <c r="H179" s="123">
        <v>45992</v>
      </c>
      <c r="I179" s="111">
        <v>35000</v>
      </c>
      <c r="J179" s="111">
        <v>0</v>
      </c>
      <c r="K179" s="111">
        <f t="shared" ref="K179:K197" si="115">SUM(I179:J179)</f>
        <v>35000</v>
      </c>
      <c r="L179" s="111">
        <f>IF(I179&gt;=Datos!$D$14,(Datos!$D$14*Datos!$C$14),IF(I179&lt;=Datos!$D$14,(I179*Datos!$C$14)))</f>
        <v>1004.5</v>
      </c>
      <c r="M179" s="112" t="str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0</v>
      </c>
      <c r="N179" s="111">
        <f>IF(I179&gt;=Datos!$D$15,(Datos!$D$15*Datos!$C$15),IF(I179&lt;=Datos!$D$15,(I179*Datos!$C$15)))</f>
        <v>1064</v>
      </c>
      <c r="O179" s="111">
        <v>25</v>
      </c>
      <c r="P179" s="111">
        <f t="shared" ref="P179:P197" si="116">SUM(L179:O179)</f>
        <v>2093.5</v>
      </c>
      <c r="Q179" s="113">
        <f t="shared" ref="Q179:Q197" si="117">+K179-P179</f>
        <v>32906.5</v>
      </c>
    </row>
    <row r="180" spans="1:17" s="7" customFormat="1" ht="38.25" customHeight="1" x14ac:dyDescent="0.2">
      <c r="A180" s="106">
        <v>86</v>
      </c>
      <c r="B180" s="122" t="s">
        <v>722</v>
      </c>
      <c r="C180" s="122" t="s">
        <v>285</v>
      </c>
      <c r="D180" s="127" t="s">
        <v>452</v>
      </c>
      <c r="E180" s="108" t="s">
        <v>283</v>
      </c>
      <c r="F180" s="108" t="s">
        <v>19</v>
      </c>
      <c r="G180" s="109">
        <v>45809</v>
      </c>
      <c r="H180" s="123">
        <v>45992</v>
      </c>
      <c r="I180" s="111">
        <v>35000</v>
      </c>
      <c r="J180" s="111">
        <v>0</v>
      </c>
      <c r="K180" s="111">
        <f t="shared" si="115"/>
        <v>35000</v>
      </c>
      <c r="L180" s="111">
        <f>IF(I180&gt;=Datos!$D$14,(Datos!$D$14*Datos!$C$14),IF(I180&lt;=Datos!$D$14,(I180*Datos!$C$14)))</f>
        <v>1004.5</v>
      </c>
      <c r="M180" s="112" t="str">
        <f>IF((I180-L180-N180)&lt;=Datos!$G$7,"0",IF((I180-L180-N180)&lt;=Datos!$G$8,((I180-L180-N180)-Datos!$F$8)*Datos!$I$6,IF((I180-L180-N180)&lt;=Datos!$G$9,Datos!$I$8+((I180-L180-N180)-Datos!$F$9)*Datos!$J$6,IF((I180-L180-N180)&gt;=Datos!$F$10,(Datos!$I$8+Datos!$J$8)+((I180-L180-N180)-Datos!$F$10)*Datos!$K$6))))</f>
        <v>0</v>
      </c>
      <c r="N180" s="111">
        <f>IF(I180&gt;=Datos!$D$15,(Datos!$D$15*Datos!$C$15),IF(I180&lt;=Datos!$D$15,(I180*Datos!$C$15)))</f>
        <v>1064</v>
      </c>
      <c r="O180" s="111">
        <v>25</v>
      </c>
      <c r="P180" s="111">
        <f t="shared" si="116"/>
        <v>2093.5</v>
      </c>
      <c r="Q180" s="113">
        <f t="shared" si="117"/>
        <v>32906.5</v>
      </c>
    </row>
    <row r="181" spans="1:17" s="7" customFormat="1" ht="38.25" customHeight="1" x14ac:dyDescent="0.2">
      <c r="A181" s="106">
        <v>87</v>
      </c>
      <c r="B181" s="122" t="s">
        <v>723</v>
      </c>
      <c r="C181" s="122" t="s">
        <v>285</v>
      </c>
      <c r="D181" s="127" t="s">
        <v>452</v>
      </c>
      <c r="E181" s="108" t="s">
        <v>283</v>
      </c>
      <c r="F181" s="108" t="s">
        <v>19</v>
      </c>
      <c r="G181" s="109">
        <v>45809</v>
      </c>
      <c r="H181" s="123">
        <v>45992</v>
      </c>
      <c r="I181" s="111">
        <v>35000</v>
      </c>
      <c r="J181" s="111">
        <v>0</v>
      </c>
      <c r="K181" s="111">
        <f t="shared" si="115"/>
        <v>35000</v>
      </c>
      <c r="L181" s="111">
        <f>IF(I181&gt;=Datos!$D$14,(Datos!$D$14*Datos!$C$14),IF(I181&lt;=Datos!$D$14,(I181*Datos!$C$14)))</f>
        <v>1004.5</v>
      </c>
      <c r="M181" s="112" t="str">
        <f>IF((I181-L181-N181)&lt;=Datos!$G$7,"0",IF((I181-L181-N181)&lt;=Datos!$G$8,((I181-L181-N181)-Datos!$F$8)*Datos!$I$6,IF((I181-L181-N181)&lt;=Datos!$G$9,Datos!$I$8+((I181-L181-N181)-Datos!$F$9)*Datos!$J$6,IF((I181-L181-N181)&gt;=Datos!$F$10,(Datos!$I$8+Datos!$J$8)+((I181-L181-N181)-Datos!$F$10)*Datos!$K$6))))</f>
        <v>0</v>
      </c>
      <c r="N181" s="111">
        <f>IF(I181&gt;=Datos!$D$15,(Datos!$D$15*Datos!$C$15),IF(I181&lt;=Datos!$D$15,(I181*Datos!$C$15)))</f>
        <v>1064</v>
      </c>
      <c r="O181" s="111">
        <v>25</v>
      </c>
      <c r="P181" s="111">
        <f t="shared" si="116"/>
        <v>2093.5</v>
      </c>
      <c r="Q181" s="113">
        <f t="shared" si="117"/>
        <v>32906.5</v>
      </c>
    </row>
    <row r="182" spans="1:17" s="7" customFormat="1" ht="38.25" customHeight="1" x14ac:dyDescent="0.2">
      <c r="A182" s="106">
        <v>88</v>
      </c>
      <c r="B182" s="122" t="s">
        <v>724</v>
      </c>
      <c r="C182" s="122" t="s">
        <v>285</v>
      </c>
      <c r="D182" s="127" t="s">
        <v>452</v>
      </c>
      <c r="E182" s="108" t="s">
        <v>283</v>
      </c>
      <c r="F182" s="108" t="s">
        <v>19</v>
      </c>
      <c r="G182" s="109">
        <v>45809</v>
      </c>
      <c r="H182" s="123">
        <v>45992</v>
      </c>
      <c r="I182" s="111">
        <v>35000</v>
      </c>
      <c r="J182" s="111">
        <v>0</v>
      </c>
      <c r="K182" s="111">
        <f t="shared" si="115"/>
        <v>35000</v>
      </c>
      <c r="L182" s="111">
        <f>IF(I182&gt;=Datos!$D$14,(Datos!$D$14*Datos!$C$14),IF(I182&lt;=Datos!$D$14,(I182*Datos!$C$14)))</f>
        <v>1004.5</v>
      </c>
      <c r="M182" s="112" t="str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0</v>
      </c>
      <c r="N182" s="111">
        <f>IF(I182&gt;=Datos!$D$15,(Datos!$D$15*Datos!$C$15),IF(I182&lt;=Datos!$D$15,(I182*Datos!$C$15)))</f>
        <v>1064</v>
      </c>
      <c r="O182" s="111">
        <v>25</v>
      </c>
      <c r="P182" s="111">
        <f t="shared" si="116"/>
        <v>2093.5</v>
      </c>
      <c r="Q182" s="113">
        <f t="shared" si="117"/>
        <v>32906.5</v>
      </c>
    </row>
    <row r="183" spans="1:17" s="7" customFormat="1" ht="38.25" customHeight="1" x14ac:dyDescent="0.2">
      <c r="A183" s="106">
        <v>89</v>
      </c>
      <c r="B183" s="122" t="s">
        <v>725</v>
      </c>
      <c r="C183" s="122" t="s">
        <v>285</v>
      </c>
      <c r="D183" s="127" t="s">
        <v>452</v>
      </c>
      <c r="E183" s="108" t="s">
        <v>283</v>
      </c>
      <c r="F183" s="108" t="s">
        <v>19</v>
      </c>
      <c r="G183" s="109">
        <v>45809</v>
      </c>
      <c r="H183" s="123">
        <v>45992</v>
      </c>
      <c r="I183" s="111">
        <v>35000</v>
      </c>
      <c r="J183" s="111">
        <v>0</v>
      </c>
      <c r="K183" s="111">
        <f t="shared" si="115"/>
        <v>35000</v>
      </c>
      <c r="L183" s="111">
        <f>IF(I183&gt;=Datos!$D$14,(Datos!$D$14*Datos!$C$14),IF(I183&lt;=Datos!$D$14,(I183*Datos!$C$14)))</f>
        <v>1004.5</v>
      </c>
      <c r="M183" s="112" t="str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0</v>
      </c>
      <c r="N183" s="111">
        <f>IF(I183&gt;=Datos!$D$15,(Datos!$D$15*Datos!$C$15),IF(I183&lt;=Datos!$D$15,(I183*Datos!$C$15)))</f>
        <v>1064</v>
      </c>
      <c r="O183" s="111">
        <v>25</v>
      </c>
      <c r="P183" s="111">
        <f t="shared" si="116"/>
        <v>2093.5</v>
      </c>
      <c r="Q183" s="113">
        <f t="shared" si="117"/>
        <v>32906.5</v>
      </c>
    </row>
    <row r="184" spans="1:17" s="7" customFormat="1" ht="38.25" customHeight="1" x14ac:dyDescent="0.2">
      <c r="A184" s="106">
        <v>90</v>
      </c>
      <c r="B184" s="122" t="s">
        <v>726</v>
      </c>
      <c r="C184" s="122" t="s">
        <v>285</v>
      </c>
      <c r="D184" s="127" t="s">
        <v>452</v>
      </c>
      <c r="E184" s="108" t="s">
        <v>283</v>
      </c>
      <c r="F184" s="108" t="s">
        <v>19</v>
      </c>
      <c r="G184" s="109">
        <v>45809</v>
      </c>
      <c r="H184" s="123">
        <v>45992</v>
      </c>
      <c r="I184" s="111">
        <v>35000</v>
      </c>
      <c r="J184" s="111">
        <v>0</v>
      </c>
      <c r="K184" s="111">
        <f t="shared" si="115"/>
        <v>35000</v>
      </c>
      <c r="L184" s="111">
        <f>IF(I184&gt;=Datos!$D$14,(Datos!$D$14*Datos!$C$14),IF(I184&lt;=Datos!$D$14,(I184*Datos!$C$14)))</f>
        <v>1004.5</v>
      </c>
      <c r="M184" s="112" t="str">
        <f>IF((I184-L184-N184)&lt;=Datos!$G$7,"0",IF((I184-L184-N184)&lt;=Datos!$G$8,((I184-L184-N184)-Datos!$F$8)*Datos!$I$6,IF((I184-L184-N184)&lt;=Datos!$G$9,Datos!$I$8+((I184-L184-N184)-Datos!$F$9)*Datos!$J$6,IF((I184-L184-N184)&gt;=Datos!$F$10,(Datos!$I$8+Datos!$J$8)+((I184-L184-N184)-Datos!$F$10)*Datos!$K$6))))</f>
        <v>0</v>
      </c>
      <c r="N184" s="111">
        <f>IF(I184&gt;=Datos!$D$15,(Datos!$D$15*Datos!$C$15),IF(I184&lt;=Datos!$D$15,(I184*Datos!$C$15)))</f>
        <v>1064</v>
      </c>
      <c r="O184" s="111">
        <v>25</v>
      </c>
      <c r="P184" s="111">
        <f t="shared" si="116"/>
        <v>2093.5</v>
      </c>
      <c r="Q184" s="113">
        <f t="shared" si="117"/>
        <v>32906.5</v>
      </c>
    </row>
    <row r="185" spans="1:17" s="7" customFormat="1" ht="38.25" customHeight="1" x14ac:dyDescent="0.2">
      <c r="A185" s="106">
        <v>91</v>
      </c>
      <c r="B185" s="122" t="s">
        <v>727</v>
      </c>
      <c r="C185" s="122" t="s">
        <v>285</v>
      </c>
      <c r="D185" s="127" t="s">
        <v>452</v>
      </c>
      <c r="E185" s="108" t="s">
        <v>283</v>
      </c>
      <c r="F185" s="108" t="s">
        <v>19</v>
      </c>
      <c r="G185" s="109">
        <v>45809</v>
      </c>
      <c r="H185" s="123">
        <v>45992</v>
      </c>
      <c r="I185" s="111">
        <v>35000</v>
      </c>
      <c r="J185" s="111">
        <v>0</v>
      </c>
      <c r="K185" s="111">
        <f t="shared" si="115"/>
        <v>35000</v>
      </c>
      <c r="L185" s="111">
        <f>IF(I185&gt;=Datos!$D$14,(Datos!$D$14*Datos!$C$14),IF(I185&lt;=Datos!$D$14,(I185*Datos!$C$14)))</f>
        <v>1004.5</v>
      </c>
      <c r="M185" s="112" t="str">
        <f>IF((I185-L185-N185)&lt;=Datos!$G$7,"0",IF((I185-L185-N185)&lt;=Datos!$G$8,((I185-L185-N185)-Datos!$F$8)*Datos!$I$6,IF((I185-L185-N185)&lt;=Datos!$G$9,Datos!$I$8+((I185-L185-N185)-Datos!$F$9)*Datos!$J$6,IF((I185-L185-N185)&gt;=Datos!$F$10,(Datos!$I$8+Datos!$J$8)+((I185-L185-N185)-Datos!$F$10)*Datos!$K$6))))</f>
        <v>0</v>
      </c>
      <c r="N185" s="111">
        <f>IF(I185&gt;=Datos!$D$15,(Datos!$D$15*Datos!$C$15),IF(I185&lt;=Datos!$D$15,(I185*Datos!$C$15)))</f>
        <v>1064</v>
      </c>
      <c r="O185" s="111">
        <v>25</v>
      </c>
      <c r="P185" s="111">
        <f t="shared" si="116"/>
        <v>2093.5</v>
      </c>
      <c r="Q185" s="113">
        <f t="shared" si="117"/>
        <v>32906.5</v>
      </c>
    </row>
    <row r="186" spans="1:17" s="7" customFormat="1" ht="38.25" customHeight="1" x14ac:dyDescent="0.2">
      <c r="A186" s="106">
        <v>92</v>
      </c>
      <c r="B186" s="122" t="s">
        <v>728</v>
      </c>
      <c r="C186" s="122" t="s">
        <v>285</v>
      </c>
      <c r="D186" s="127" t="s">
        <v>452</v>
      </c>
      <c r="E186" s="108" t="s">
        <v>283</v>
      </c>
      <c r="F186" s="108" t="s">
        <v>19</v>
      </c>
      <c r="G186" s="109">
        <v>45809</v>
      </c>
      <c r="H186" s="123">
        <v>45992</v>
      </c>
      <c r="I186" s="111">
        <v>35000</v>
      </c>
      <c r="J186" s="111">
        <v>0</v>
      </c>
      <c r="K186" s="111">
        <f t="shared" si="115"/>
        <v>35000</v>
      </c>
      <c r="L186" s="111">
        <f>IF(I186&gt;=Datos!$D$14,(Datos!$D$14*Datos!$C$14),IF(I186&lt;=Datos!$D$14,(I186*Datos!$C$14)))</f>
        <v>1004.5</v>
      </c>
      <c r="M186" s="112" t="str">
        <f>IF((I186-L186-N186)&lt;=Datos!$G$7,"0",IF((I186-L186-N186)&lt;=Datos!$G$8,((I186-L186-N186)-Datos!$F$8)*Datos!$I$6,IF((I186-L186-N186)&lt;=Datos!$G$9,Datos!$I$8+((I186-L186-N186)-Datos!$F$9)*Datos!$J$6,IF((I186-L186-N186)&gt;=Datos!$F$10,(Datos!$I$8+Datos!$J$8)+((I186-L186-N186)-Datos!$F$10)*Datos!$K$6))))</f>
        <v>0</v>
      </c>
      <c r="N186" s="111">
        <f>IF(I186&gt;=Datos!$D$15,(Datos!$D$15*Datos!$C$15),IF(I186&lt;=Datos!$D$15,(I186*Datos!$C$15)))</f>
        <v>1064</v>
      </c>
      <c r="O186" s="111">
        <v>25</v>
      </c>
      <c r="P186" s="111">
        <f t="shared" si="116"/>
        <v>2093.5</v>
      </c>
      <c r="Q186" s="113">
        <f t="shared" si="117"/>
        <v>32906.5</v>
      </c>
    </row>
    <row r="187" spans="1:17" s="7" customFormat="1" ht="38.25" customHeight="1" x14ac:dyDescent="0.2">
      <c r="A187" s="106">
        <v>93</v>
      </c>
      <c r="B187" s="122" t="s">
        <v>729</v>
      </c>
      <c r="C187" s="122" t="s">
        <v>285</v>
      </c>
      <c r="D187" s="127" t="s">
        <v>452</v>
      </c>
      <c r="E187" s="108" t="s">
        <v>283</v>
      </c>
      <c r="F187" s="108" t="s">
        <v>19</v>
      </c>
      <c r="G187" s="109">
        <v>45809</v>
      </c>
      <c r="H187" s="123">
        <v>45992</v>
      </c>
      <c r="I187" s="111">
        <v>35000</v>
      </c>
      <c r="J187" s="111">
        <v>0</v>
      </c>
      <c r="K187" s="111">
        <f t="shared" si="115"/>
        <v>35000</v>
      </c>
      <c r="L187" s="111">
        <f>IF(I187&gt;=Datos!$D$14,(Datos!$D$14*Datos!$C$14),IF(I187&lt;=Datos!$D$14,(I187*Datos!$C$14)))</f>
        <v>1004.5</v>
      </c>
      <c r="M187" s="112" t="str">
        <f>IF((I187-L187-N187)&lt;=Datos!$G$7,"0",IF((I187-L187-N187)&lt;=Datos!$G$8,((I187-L187-N187)-Datos!$F$8)*Datos!$I$6,IF((I187-L187-N187)&lt;=Datos!$G$9,Datos!$I$8+((I187-L187-N187)-Datos!$F$9)*Datos!$J$6,IF((I187-L187-N187)&gt;=Datos!$F$10,(Datos!$I$8+Datos!$J$8)+((I187-L187-N187)-Datos!$F$10)*Datos!$K$6))))</f>
        <v>0</v>
      </c>
      <c r="N187" s="111">
        <f>IF(I187&gt;=Datos!$D$15,(Datos!$D$15*Datos!$C$15),IF(I187&lt;=Datos!$D$15,(I187*Datos!$C$15)))</f>
        <v>1064</v>
      </c>
      <c r="O187" s="111">
        <v>25</v>
      </c>
      <c r="P187" s="111">
        <f t="shared" si="116"/>
        <v>2093.5</v>
      </c>
      <c r="Q187" s="113">
        <f t="shared" si="117"/>
        <v>32906.5</v>
      </c>
    </row>
    <row r="188" spans="1:17" s="7" customFormat="1" ht="38.25" customHeight="1" x14ac:dyDescent="0.2">
      <c r="A188" s="106">
        <v>94</v>
      </c>
      <c r="B188" s="122" t="s">
        <v>730</v>
      </c>
      <c r="C188" s="122" t="s">
        <v>285</v>
      </c>
      <c r="D188" s="127" t="s">
        <v>452</v>
      </c>
      <c r="E188" s="108" t="s">
        <v>283</v>
      </c>
      <c r="F188" s="108" t="s">
        <v>19</v>
      </c>
      <c r="G188" s="109">
        <v>45809</v>
      </c>
      <c r="H188" s="123">
        <v>45992</v>
      </c>
      <c r="I188" s="111">
        <v>35000</v>
      </c>
      <c r="J188" s="111">
        <v>0</v>
      </c>
      <c r="K188" s="111">
        <f t="shared" si="115"/>
        <v>35000</v>
      </c>
      <c r="L188" s="111">
        <f>IF(I188&gt;=Datos!$D$14,(Datos!$D$14*Datos!$C$14),IF(I188&lt;=Datos!$D$14,(I188*Datos!$C$14)))</f>
        <v>1004.5</v>
      </c>
      <c r="M188" s="112" t="str">
        <f>IF((I188-L188-N188)&lt;=Datos!$G$7,"0",IF((I188-L188-N188)&lt;=Datos!$G$8,((I188-L188-N188)-Datos!$F$8)*Datos!$I$6,IF((I188-L188-N188)&lt;=Datos!$G$9,Datos!$I$8+((I188-L188-N188)-Datos!$F$9)*Datos!$J$6,IF((I188-L188-N188)&gt;=Datos!$F$10,(Datos!$I$8+Datos!$J$8)+((I188-L188-N188)-Datos!$F$10)*Datos!$K$6))))</f>
        <v>0</v>
      </c>
      <c r="N188" s="111">
        <f>IF(I188&gt;=Datos!$D$15,(Datos!$D$15*Datos!$C$15),IF(I188&lt;=Datos!$D$15,(I188*Datos!$C$15)))</f>
        <v>1064</v>
      </c>
      <c r="O188" s="111">
        <v>25</v>
      </c>
      <c r="P188" s="111">
        <f t="shared" si="116"/>
        <v>2093.5</v>
      </c>
      <c r="Q188" s="113">
        <f t="shared" si="117"/>
        <v>32906.5</v>
      </c>
    </row>
    <row r="189" spans="1:17" s="7" customFormat="1" ht="38.25" customHeight="1" x14ac:dyDescent="0.2">
      <c r="A189" s="106">
        <v>95</v>
      </c>
      <c r="B189" s="122" t="s">
        <v>731</v>
      </c>
      <c r="C189" s="122" t="s">
        <v>285</v>
      </c>
      <c r="D189" s="127" t="s">
        <v>452</v>
      </c>
      <c r="E189" s="108" t="s">
        <v>283</v>
      </c>
      <c r="F189" s="108" t="s">
        <v>19</v>
      </c>
      <c r="G189" s="109">
        <v>45809</v>
      </c>
      <c r="H189" s="123">
        <v>45992</v>
      </c>
      <c r="I189" s="111">
        <v>35000</v>
      </c>
      <c r="J189" s="111">
        <v>0</v>
      </c>
      <c r="K189" s="111">
        <f t="shared" si="115"/>
        <v>35000</v>
      </c>
      <c r="L189" s="111">
        <f>IF(I189&gt;=Datos!$D$14,(Datos!$D$14*Datos!$C$14),IF(I189&lt;=Datos!$D$14,(I189*Datos!$C$14)))</f>
        <v>1004.5</v>
      </c>
      <c r="M189" s="112" t="str">
        <f>IF((I189-L189-N189)&lt;=Datos!$G$7,"0",IF((I189-L189-N189)&lt;=Datos!$G$8,((I189-L189-N189)-Datos!$F$8)*Datos!$I$6,IF((I189-L189-N189)&lt;=Datos!$G$9,Datos!$I$8+((I189-L189-N189)-Datos!$F$9)*Datos!$J$6,IF((I189-L189-N189)&gt;=Datos!$F$10,(Datos!$I$8+Datos!$J$8)+((I189-L189-N189)-Datos!$F$10)*Datos!$K$6))))</f>
        <v>0</v>
      </c>
      <c r="N189" s="111">
        <f>IF(I189&gt;=Datos!$D$15,(Datos!$D$15*Datos!$C$15),IF(I189&lt;=Datos!$D$15,(I189*Datos!$C$15)))</f>
        <v>1064</v>
      </c>
      <c r="O189" s="111">
        <v>25</v>
      </c>
      <c r="P189" s="111">
        <f t="shared" si="116"/>
        <v>2093.5</v>
      </c>
      <c r="Q189" s="113">
        <f t="shared" si="117"/>
        <v>32906.5</v>
      </c>
    </row>
    <row r="190" spans="1:17" s="7" customFormat="1" ht="38.25" customHeight="1" x14ac:dyDescent="0.2">
      <c r="A190" s="106">
        <v>96</v>
      </c>
      <c r="B190" s="122" t="s">
        <v>732</v>
      </c>
      <c r="C190" s="122" t="s">
        <v>285</v>
      </c>
      <c r="D190" s="127" t="s">
        <v>452</v>
      </c>
      <c r="E190" s="108" t="s">
        <v>283</v>
      </c>
      <c r="F190" s="108" t="s">
        <v>19</v>
      </c>
      <c r="G190" s="109">
        <v>45809</v>
      </c>
      <c r="H190" s="123">
        <v>45992</v>
      </c>
      <c r="I190" s="111">
        <v>35000</v>
      </c>
      <c r="J190" s="111">
        <v>0</v>
      </c>
      <c r="K190" s="111">
        <f t="shared" si="115"/>
        <v>35000</v>
      </c>
      <c r="L190" s="111">
        <f>IF(I190&gt;=Datos!$D$14,(Datos!$D$14*Datos!$C$14),IF(I190&lt;=Datos!$D$14,(I190*Datos!$C$14)))</f>
        <v>1004.5</v>
      </c>
      <c r="M190" s="112" t="str">
        <f>IF((I190-L190-N190)&lt;=Datos!$G$7,"0",IF((I190-L190-N190)&lt;=Datos!$G$8,((I190-L190-N190)-Datos!$F$8)*Datos!$I$6,IF((I190-L190-N190)&lt;=Datos!$G$9,Datos!$I$8+((I190-L190-N190)-Datos!$F$9)*Datos!$J$6,IF((I190-L190-N190)&gt;=Datos!$F$10,(Datos!$I$8+Datos!$J$8)+((I190-L190-N190)-Datos!$F$10)*Datos!$K$6))))</f>
        <v>0</v>
      </c>
      <c r="N190" s="111">
        <f>IF(I190&gt;=Datos!$D$15,(Datos!$D$15*Datos!$C$15),IF(I190&lt;=Datos!$D$15,(I190*Datos!$C$15)))</f>
        <v>1064</v>
      </c>
      <c r="O190" s="111">
        <v>25</v>
      </c>
      <c r="P190" s="111">
        <f t="shared" si="116"/>
        <v>2093.5</v>
      </c>
      <c r="Q190" s="113">
        <f t="shared" si="117"/>
        <v>32906.5</v>
      </c>
    </row>
    <row r="191" spans="1:17" s="7" customFormat="1" ht="38.25" customHeight="1" x14ac:dyDescent="0.2">
      <c r="A191" s="106">
        <v>97</v>
      </c>
      <c r="B191" s="122" t="s">
        <v>733</v>
      </c>
      <c r="C191" s="122" t="s">
        <v>285</v>
      </c>
      <c r="D191" s="127" t="s">
        <v>452</v>
      </c>
      <c r="E191" s="108" t="s">
        <v>283</v>
      </c>
      <c r="F191" s="108" t="s">
        <v>19</v>
      </c>
      <c r="G191" s="109">
        <v>45809</v>
      </c>
      <c r="H191" s="123">
        <v>45992</v>
      </c>
      <c r="I191" s="111">
        <v>35000</v>
      </c>
      <c r="J191" s="111">
        <v>0</v>
      </c>
      <c r="K191" s="111">
        <f t="shared" si="115"/>
        <v>35000</v>
      </c>
      <c r="L191" s="111">
        <f>IF(I191&gt;=Datos!$D$14,(Datos!$D$14*Datos!$C$14),IF(I191&lt;=Datos!$D$14,(I191*Datos!$C$14)))</f>
        <v>1004.5</v>
      </c>
      <c r="M191" s="112" t="str">
        <f>IF((I191-L191-N191)&lt;=Datos!$G$7,"0",IF((I191-L191-N191)&lt;=Datos!$G$8,((I191-L191-N191)-Datos!$F$8)*Datos!$I$6,IF((I191-L191-N191)&lt;=Datos!$G$9,Datos!$I$8+((I191-L191-N191)-Datos!$F$9)*Datos!$J$6,IF((I191-L191-N191)&gt;=Datos!$F$10,(Datos!$I$8+Datos!$J$8)+((I191-L191-N191)-Datos!$F$10)*Datos!$K$6))))</f>
        <v>0</v>
      </c>
      <c r="N191" s="111">
        <f>IF(I191&gt;=Datos!$D$15,(Datos!$D$15*Datos!$C$15),IF(I191&lt;=Datos!$D$15,(I191*Datos!$C$15)))</f>
        <v>1064</v>
      </c>
      <c r="O191" s="111">
        <v>25</v>
      </c>
      <c r="P191" s="111">
        <f t="shared" si="116"/>
        <v>2093.5</v>
      </c>
      <c r="Q191" s="113">
        <f t="shared" si="117"/>
        <v>32906.5</v>
      </c>
    </row>
    <row r="192" spans="1:17" s="7" customFormat="1" ht="38.25" customHeight="1" x14ac:dyDescent="0.2">
      <c r="A192" s="106">
        <v>98</v>
      </c>
      <c r="B192" s="122" t="s">
        <v>734</v>
      </c>
      <c r="C192" s="122" t="s">
        <v>285</v>
      </c>
      <c r="D192" s="127" t="s">
        <v>622</v>
      </c>
      <c r="E192" s="108" t="s">
        <v>283</v>
      </c>
      <c r="F192" s="108" t="s">
        <v>19</v>
      </c>
      <c r="G192" s="109">
        <v>45809</v>
      </c>
      <c r="H192" s="123">
        <v>45992</v>
      </c>
      <c r="I192" s="111">
        <v>72600</v>
      </c>
      <c r="J192" s="111">
        <v>0</v>
      </c>
      <c r="K192" s="111">
        <f t="shared" si="115"/>
        <v>72600</v>
      </c>
      <c r="L192" s="111">
        <f>IF(I192&gt;=Datos!$D$14,(Datos!$D$14*Datos!$C$14),IF(I192&lt;=Datos!$D$14,(I192*Datos!$C$14)))</f>
        <v>2083.62</v>
      </c>
      <c r="M192" s="112">
        <f>IF((I192-L192-N192)&lt;=Datos!$G$7,"0",IF((I192-L192-N192)&lt;=Datos!$G$8,((I192-L192-N192)-Datos!$F$8)*Datos!$I$6,IF((I192-L192-N192)&lt;=Datos!$G$9,Datos!$I$8+((I192-L192-N192)-Datos!$F$9)*Datos!$J$6,IF((I192-L192-N192)&gt;=Datos!$F$10,(Datos!$I$8+Datos!$J$8)+((I192-L192-N192)-Datos!$F$10)*Datos!$K$6))))</f>
        <v>5857.743666666669</v>
      </c>
      <c r="N192" s="111">
        <f>IF(I192&gt;=Datos!$D$15,(Datos!$D$15*Datos!$C$15),IF(I192&lt;=Datos!$D$15,(I192*Datos!$C$15)))</f>
        <v>2207.04</v>
      </c>
      <c r="O192" s="111">
        <v>25</v>
      </c>
      <c r="P192" s="111">
        <f t="shared" si="116"/>
        <v>10173.403666666669</v>
      </c>
      <c r="Q192" s="113">
        <f t="shared" si="117"/>
        <v>62426.596333333335</v>
      </c>
    </row>
    <row r="193" spans="1:17" s="7" customFormat="1" ht="38.25" customHeight="1" x14ac:dyDescent="0.2">
      <c r="A193" s="106">
        <v>99</v>
      </c>
      <c r="B193" s="122" t="s">
        <v>735</v>
      </c>
      <c r="C193" s="122" t="s">
        <v>285</v>
      </c>
      <c r="D193" s="127" t="s">
        <v>452</v>
      </c>
      <c r="E193" s="108" t="s">
        <v>283</v>
      </c>
      <c r="F193" s="108" t="s">
        <v>19</v>
      </c>
      <c r="G193" s="109">
        <v>45809</v>
      </c>
      <c r="H193" s="123">
        <v>45992</v>
      </c>
      <c r="I193" s="111">
        <v>35000</v>
      </c>
      <c r="J193" s="111">
        <v>0</v>
      </c>
      <c r="K193" s="111">
        <f t="shared" si="115"/>
        <v>35000</v>
      </c>
      <c r="L193" s="111">
        <f>IF(I193&gt;=Datos!$D$14,(Datos!$D$14*Datos!$C$14),IF(I193&lt;=Datos!$D$14,(I193*Datos!$C$14)))</f>
        <v>1004.5</v>
      </c>
      <c r="M193" s="112" t="str">
        <f>IF((I193-L193-N193)&lt;=Datos!$G$7,"0",IF((I193-L193-N193)&lt;=Datos!$G$8,((I193-L193-N193)-Datos!$F$8)*Datos!$I$6,IF((I193-L193-N193)&lt;=Datos!$G$9,Datos!$I$8+((I193-L193-N193)-Datos!$F$9)*Datos!$J$6,IF((I193-L193-N193)&gt;=Datos!$F$10,(Datos!$I$8+Datos!$J$8)+((I193-L193-N193)-Datos!$F$10)*Datos!$K$6))))</f>
        <v>0</v>
      </c>
      <c r="N193" s="111">
        <f>IF(I193&gt;=Datos!$D$15,(Datos!$D$15*Datos!$C$15),IF(I193&lt;=Datos!$D$15,(I193*Datos!$C$15)))</f>
        <v>1064</v>
      </c>
      <c r="O193" s="111">
        <v>25</v>
      </c>
      <c r="P193" s="111">
        <f t="shared" si="116"/>
        <v>2093.5</v>
      </c>
      <c r="Q193" s="113">
        <f t="shared" si="117"/>
        <v>32906.5</v>
      </c>
    </row>
    <row r="194" spans="1:17" s="7" customFormat="1" ht="38.25" customHeight="1" x14ac:dyDescent="0.2">
      <c r="A194" s="106">
        <v>100</v>
      </c>
      <c r="B194" s="257" t="s">
        <v>736</v>
      </c>
      <c r="C194" s="122" t="s">
        <v>285</v>
      </c>
      <c r="D194" s="127" t="s">
        <v>452</v>
      </c>
      <c r="E194" s="108" t="s">
        <v>283</v>
      </c>
      <c r="F194" s="108" t="s">
        <v>19</v>
      </c>
      <c r="G194" s="109">
        <v>45809</v>
      </c>
      <c r="H194" s="123">
        <v>45992</v>
      </c>
      <c r="I194" s="111">
        <v>35000</v>
      </c>
      <c r="J194" s="111">
        <v>0</v>
      </c>
      <c r="K194" s="111">
        <f t="shared" si="115"/>
        <v>35000</v>
      </c>
      <c r="L194" s="111">
        <f>IF(I194&gt;=Datos!$D$14,(Datos!$D$14*Datos!$C$14),IF(I194&lt;=Datos!$D$14,(I194*Datos!$C$14)))</f>
        <v>1004.5</v>
      </c>
      <c r="M194" s="112" t="str">
        <f>IF((I194-L194-N194)&lt;=Datos!$G$7,"0",IF((I194-L194-N194)&lt;=Datos!$G$8,((I194-L194-N194)-Datos!$F$8)*Datos!$I$6,IF((I194-L194-N194)&lt;=Datos!$G$9,Datos!$I$8+((I194-L194-N194)-Datos!$F$9)*Datos!$J$6,IF((I194-L194-N194)&gt;=Datos!$F$10,(Datos!$I$8+Datos!$J$8)+((I194-L194-N194)-Datos!$F$10)*Datos!$K$6))))</f>
        <v>0</v>
      </c>
      <c r="N194" s="111">
        <f>IF(I194&gt;=Datos!$D$15,(Datos!$D$15*Datos!$C$15),IF(I194&lt;=Datos!$D$15,(I194*Datos!$C$15)))</f>
        <v>1064</v>
      </c>
      <c r="O194" s="111">
        <v>25</v>
      </c>
      <c r="P194" s="111">
        <f t="shared" si="116"/>
        <v>2093.5</v>
      </c>
      <c r="Q194" s="113">
        <f t="shared" si="117"/>
        <v>32906.5</v>
      </c>
    </row>
    <row r="195" spans="1:17" s="7" customFormat="1" ht="38.25" customHeight="1" x14ac:dyDescent="0.2">
      <c r="A195" s="106">
        <v>101</v>
      </c>
      <c r="B195" s="122" t="s">
        <v>737</v>
      </c>
      <c r="C195" s="122" t="s">
        <v>285</v>
      </c>
      <c r="D195" s="127" t="s">
        <v>622</v>
      </c>
      <c r="E195" s="108" t="s">
        <v>283</v>
      </c>
      <c r="F195" s="108" t="s">
        <v>19</v>
      </c>
      <c r="G195" s="109">
        <v>45809</v>
      </c>
      <c r="H195" s="123">
        <v>45992</v>
      </c>
      <c r="I195" s="111">
        <v>72600</v>
      </c>
      <c r="J195" s="111">
        <v>0</v>
      </c>
      <c r="K195" s="111">
        <f t="shared" si="115"/>
        <v>72600</v>
      </c>
      <c r="L195" s="111">
        <f>IF(I195&gt;=Datos!$D$14,(Datos!$D$14*Datos!$C$14),IF(I195&lt;=Datos!$D$14,(I195*Datos!$C$14)))</f>
        <v>2083.62</v>
      </c>
      <c r="M195" s="112">
        <f>IF((I195-L195-N195)&lt;=Datos!$G$7,"0",IF((I195-L195-N195)&lt;=Datos!$G$8,((I195-L195-N195)-Datos!$F$8)*Datos!$I$6,IF((I195-L195-N195)&lt;=Datos!$G$9,Datos!$I$8+((I195-L195-N195)-Datos!$F$9)*Datos!$J$6,IF((I195-L195-N195)&gt;=Datos!$F$10,(Datos!$I$8+Datos!$J$8)+((I195-L195-N195)-Datos!$F$10)*Datos!$K$6))))</f>
        <v>5857.743666666669</v>
      </c>
      <c r="N195" s="111">
        <f>IF(I195&gt;=Datos!$D$15,(Datos!$D$15*Datos!$C$15),IF(I195&lt;=Datos!$D$15,(I195*Datos!$C$15)))</f>
        <v>2207.04</v>
      </c>
      <c r="O195" s="111">
        <v>25</v>
      </c>
      <c r="P195" s="111">
        <f t="shared" si="116"/>
        <v>10173.403666666669</v>
      </c>
      <c r="Q195" s="113">
        <f t="shared" si="117"/>
        <v>62426.596333333335</v>
      </c>
    </row>
    <row r="196" spans="1:17" s="7" customFormat="1" ht="38.25" customHeight="1" x14ac:dyDescent="0.2">
      <c r="A196" s="106">
        <v>102</v>
      </c>
      <c r="B196" s="122" t="s">
        <v>738</v>
      </c>
      <c r="C196" s="122" t="s">
        <v>285</v>
      </c>
      <c r="D196" s="127" t="s">
        <v>622</v>
      </c>
      <c r="E196" s="108" t="s">
        <v>283</v>
      </c>
      <c r="F196" s="108" t="s">
        <v>19</v>
      </c>
      <c r="G196" s="109">
        <v>45809</v>
      </c>
      <c r="H196" s="123">
        <v>45992</v>
      </c>
      <c r="I196" s="111">
        <v>72600</v>
      </c>
      <c r="J196" s="111">
        <v>0</v>
      </c>
      <c r="K196" s="111">
        <f t="shared" si="115"/>
        <v>72600</v>
      </c>
      <c r="L196" s="111">
        <f>IF(I196&gt;=Datos!$D$14,(Datos!$D$14*Datos!$C$14),IF(I196&lt;=Datos!$D$14,(I196*Datos!$C$14)))</f>
        <v>2083.62</v>
      </c>
      <c r="M196" s="112">
        <f>IF((I196-L196-N196)&lt;=Datos!$G$7,"0",IF((I196-L196-N196)&lt;=Datos!$G$8,((I196-L196-N196)-Datos!$F$8)*Datos!$I$6,IF((I196-L196-N196)&lt;=Datos!$G$9,Datos!$I$8+((I196-L196-N196)-Datos!$F$9)*Datos!$J$6,IF((I196-L196-N196)&gt;=Datos!$F$10,(Datos!$I$8+Datos!$J$8)+((I196-L196-N196)-Datos!$F$10)*Datos!$K$6))))</f>
        <v>5857.743666666669</v>
      </c>
      <c r="N196" s="111">
        <f>IF(I196&gt;=Datos!$D$15,(Datos!$D$15*Datos!$C$15),IF(I196&lt;=Datos!$D$15,(I196*Datos!$C$15)))</f>
        <v>2207.04</v>
      </c>
      <c r="O196" s="111">
        <v>25</v>
      </c>
      <c r="P196" s="111">
        <f t="shared" si="116"/>
        <v>10173.403666666669</v>
      </c>
      <c r="Q196" s="113">
        <f t="shared" si="117"/>
        <v>62426.596333333335</v>
      </c>
    </row>
    <row r="197" spans="1:17" s="7" customFormat="1" ht="38.25" customHeight="1" x14ac:dyDescent="0.2">
      <c r="A197" s="106">
        <v>103</v>
      </c>
      <c r="B197" s="122" t="s">
        <v>739</v>
      </c>
      <c r="C197" s="122" t="s">
        <v>285</v>
      </c>
      <c r="D197" s="127" t="s">
        <v>452</v>
      </c>
      <c r="E197" s="108" t="s">
        <v>283</v>
      </c>
      <c r="F197" s="108" t="s">
        <v>19</v>
      </c>
      <c r="G197" s="109">
        <v>45809</v>
      </c>
      <c r="H197" s="123">
        <v>45992</v>
      </c>
      <c r="I197" s="111">
        <v>35000</v>
      </c>
      <c r="J197" s="111">
        <v>0</v>
      </c>
      <c r="K197" s="111">
        <f t="shared" si="115"/>
        <v>35000</v>
      </c>
      <c r="L197" s="111">
        <f>IF(I197&gt;=Datos!$D$14,(Datos!$D$14*Datos!$C$14),IF(I197&lt;=Datos!$D$14,(I197*Datos!$C$14)))</f>
        <v>1004.5</v>
      </c>
      <c r="M197" s="112" t="str">
        <f>IF((I197-L197-N197)&lt;=Datos!$G$7,"0",IF((I197-L197-N197)&lt;=Datos!$G$8,((I197-L197-N197)-Datos!$F$8)*Datos!$I$6,IF((I197-L197-N197)&lt;=Datos!$G$9,Datos!$I$8+((I197-L197-N197)-Datos!$F$9)*Datos!$J$6,IF((I197-L197-N197)&gt;=Datos!$F$10,(Datos!$I$8+Datos!$J$8)+((I197-L197-N197)-Datos!$F$10)*Datos!$K$6))))</f>
        <v>0</v>
      </c>
      <c r="N197" s="111">
        <f>IF(I197&gt;=Datos!$D$15,(Datos!$D$15*Datos!$C$15),IF(I197&lt;=Datos!$D$15,(I197*Datos!$C$15)))</f>
        <v>1064</v>
      </c>
      <c r="O197" s="111">
        <v>25</v>
      </c>
      <c r="P197" s="111">
        <f t="shared" si="116"/>
        <v>2093.5</v>
      </c>
      <c r="Q197" s="113">
        <f t="shared" si="117"/>
        <v>32906.5</v>
      </c>
    </row>
    <row r="198" spans="1:17" s="7" customFormat="1" ht="38.25" customHeight="1" x14ac:dyDescent="0.2">
      <c r="A198" s="106">
        <v>104</v>
      </c>
      <c r="B198" s="122" t="s">
        <v>746</v>
      </c>
      <c r="C198" s="122" t="s">
        <v>285</v>
      </c>
      <c r="D198" s="127" t="s">
        <v>608</v>
      </c>
      <c r="E198" s="108" t="s">
        <v>283</v>
      </c>
      <c r="F198" s="108" t="s">
        <v>19</v>
      </c>
      <c r="G198" s="109">
        <v>45689</v>
      </c>
      <c r="H198" s="123">
        <v>45870</v>
      </c>
      <c r="I198" s="111">
        <v>60000</v>
      </c>
      <c r="J198" s="111">
        <v>0</v>
      </c>
      <c r="K198" s="111">
        <f t="shared" ref="K198:K199" si="118">SUM(I198:J198)</f>
        <v>60000</v>
      </c>
      <c r="L198" s="111">
        <f>IF(I198&gt;=Datos!$D$14,(Datos!$D$14*Datos!$C$14),IF(I198&lt;=Datos!$D$14,(I198*Datos!$C$14)))</f>
        <v>1722</v>
      </c>
      <c r="M198" s="112">
        <f>IF((I198-L198-N198)&lt;=Datos!$G$7,"0",IF((I198-L198-N198)&lt;=Datos!$G$8,((I198-L198-N198)-Datos!$F$8)*Datos!$I$6,IF((I198-L198-N198)&lt;=Datos!$G$9,Datos!$I$8+((I198-L198-N198)-Datos!$F$9)*Datos!$J$6,IF((I198-L198-N198)&gt;=Datos!$F$10,(Datos!$I$8+Datos!$J$8)+((I198-L198-N198)-Datos!$F$10)*Datos!$K$6))))</f>
        <v>3486.6756666666661</v>
      </c>
      <c r="N198" s="111">
        <f>IF(I198&gt;=Datos!$D$15,(Datos!$D$15*Datos!$C$15),IF(I198&lt;=Datos!$D$15,(I198*Datos!$C$15)))</f>
        <v>1824</v>
      </c>
      <c r="O198" s="111">
        <v>25</v>
      </c>
      <c r="P198" s="111">
        <f t="shared" ref="P198:P199" si="119">SUM(L198:O198)</f>
        <v>7057.6756666666661</v>
      </c>
      <c r="Q198" s="113">
        <f t="shared" ref="Q198:Q199" si="120">+K198-P198</f>
        <v>52942.324333333338</v>
      </c>
    </row>
    <row r="199" spans="1:17" s="7" customFormat="1" ht="38.25" customHeight="1" x14ac:dyDescent="0.2">
      <c r="A199" s="106">
        <v>105</v>
      </c>
      <c r="B199" s="122" t="s">
        <v>791</v>
      </c>
      <c r="C199" s="122" t="s">
        <v>285</v>
      </c>
      <c r="D199" s="127" t="s">
        <v>608</v>
      </c>
      <c r="E199" s="108" t="s">
        <v>283</v>
      </c>
      <c r="F199" s="108" t="s">
        <v>19</v>
      </c>
      <c r="G199" s="109">
        <v>45689</v>
      </c>
      <c r="H199" s="123">
        <v>45870</v>
      </c>
      <c r="I199" s="111">
        <v>60000</v>
      </c>
      <c r="J199" s="111">
        <v>0</v>
      </c>
      <c r="K199" s="111">
        <f t="shared" si="118"/>
        <v>60000</v>
      </c>
      <c r="L199" s="111">
        <f>IF(I199&gt;=Datos!$D$14,(Datos!$D$14*Datos!$C$14),IF(I199&lt;=Datos!$D$14,(I199*Datos!$C$14)))</f>
        <v>1722</v>
      </c>
      <c r="M199" s="112">
        <f>IF((I199-L199-N199)&lt;=Datos!$G$7,"0",IF((I199-L199-N199)&lt;=Datos!$G$8,((I199-L199-N199)-Datos!$F$8)*Datos!$I$6,IF((I199-L199-N199)&lt;=Datos!$G$9,Datos!$I$8+((I199-L199-N199)-Datos!$F$9)*Datos!$J$6,IF((I199-L199-N199)&gt;=Datos!$F$10,(Datos!$I$8+Datos!$J$8)+((I199-L199-N199)-Datos!$F$10)*Datos!$K$6))))</f>
        <v>3486.6756666666661</v>
      </c>
      <c r="N199" s="111">
        <f>IF(I199&gt;=Datos!$D$15,(Datos!$D$15*Datos!$C$15),IF(I199&lt;=Datos!$D$15,(I199*Datos!$C$15)))</f>
        <v>1824</v>
      </c>
      <c r="O199" s="111">
        <v>25</v>
      </c>
      <c r="P199" s="111">
        <f t="shared" si="119"/>
        <v>7057.6756666666661</v>
      </c>
      <c r="Q199" s="113">
        <f t="shared" si="120"/>
        <v>52942.324333333338</v>
      </c>
    </row>
    <row r="200" spans="1:17" s="7" customFormat="1" ht="38.25" customHeight="1" x14ac:dyDescent="0.2">
      <c r="A200" s="106">
        <v>106</v>
      </c>
      <c r="B200" s="122" t="s">
        <v>745</v>
      </c>
      <c r="C200" s="122" t="s">
        <v>285</v>
      </c>
      <c r="D200" s="127" t="s">
        <v>608</v>
      </c>
      <c r="E200" s="108" t="s">
        <v>283</v>
      </c>
      <c r="F200" s="108" t="s">
        <v>19</v>
      </c>
      <c r="G200" s="109">
        <v>45717</v>
      </c>
      <c r="H200" s="123">
        <v>45901</v>
      </c>
      <c r="I200" s="111">
        <v>60000</v>
      </c>
      <c r="J200" s="111">
        <v>0</v>
      </c>
      <c r="K200" s="111">
        <f t="shared" ref="K200:K201" si="121">SUM(I200:J200)</f>
        <v>60000</v>
      </c>
      <c r="L200" s="111">
        <f>IF(I200&gt;=Datos!$D$14,(Datos!$D$14*Datos!$C$14),IF(I200&lt;=Datos!$D$14,(I200*Datos!$C$14)))</f>
        <v>1722</v>
      </c>
      <c r="M200" s="112">
        <v>3143.58</v>
      </c>
      <c r="N200" s="111">
        <f>IF(I200&gt;=Datos!$D$15,(Datos!$D$15*Datos!$C$15),IF(I200&lt;=Datos!$D$15,(I200*Datos!$C$15)))</f>
        <v>1824</v>
      </c>
      <c r="O200" s="111">
        <v>1740.46</v>
      </c>
      <c r="P200" s="111">
        <f t="shared" ref="P200:P201" si="122">SUM(L200:O200)</f>
        <v>8430.0400000000009</v>
      </c>
      <c r="Q200" s="113">
        <f t="shared" ref="Q200:Q201" si="123">+K200-P200</f>
        <v>51569.96</v>
      </c>
    </row>
    <row r="201" spans="1:17" s="7" customFormat="1" ht="38.25" customHeight="1" x14ac:dyDescent="0.2">
      <c r="A201" s="106">
        <v>107</v>
      </c>
      <c r="B201" s="122" t="s">
        <v>810</v>
      </c>
      <c r="C201" s="122" t="s">
        <v>285</v>
      </c>
      <c r="D201" s="127" t="s">
        <v>608</v>
      </c>
      <c r="E201" s="108" t="s">
        <v>283</v>
      </c>
      <c r="F201" s="108" t="s">
        <v>19</v>
      </c>
      <c r="G201" s="109">
        <v>45717</v>
      </c>
      <c r="H201" s="123">
        <v>45901</v>
      </c>
      <c r="I201" s="111">
        <v>60000</v>
      </c>
      <c r="J201" s="111">
        <v>0</v>
      </c>
      <c r="K201" s="111">
        <f t="shared" si="121"/>
        <v>60000</v>
      </c>
      <c r="L201" s="111">
        <f>IF(I201&gt;=Datos!$D$14,(Datos!$D$14*Datos!$C$14),IF(I201&lt;=Datos!$D$14,(I201*Datos!$C$14)))</f>
        <v>1722</v>
      </c>
      <c r="M201" s="112">
        <f>IF((I201-L201-N201)&lt;=Datos!$G$7,"0",IF((I201-L201-N201)&lt;=Datos!$G$8,((I201-L201-N201)-Datos!$F$8)*Datos!$I$6,IF((I201-L201-N201)&lt;=Datos!$G$9,Datos!$I$8+((I201-L201-N201)-Datos!$F$9)*Datos!$J$6,IF((I201-L201-N201)&gt;=Datos!$F$10,(Datos!$I$8+Datos!$J$8)+((I201-L201-N201)-Datos!$F$10)*Datos!$K$6))))</f>
        <v>3486.6756666666661</v>
      </c>
      <c r="N201" s="111">
        <f>IF(I201&gt;=Datos!$D$15,(Datos!$D$15*Datos!$C$15),IF(I201&lt;=Datos!$D$15,(I201*Datos!$C$15)))</f>
        <v>1824</v>
      </c>
      <c r="O201" s="111">
        <v>25</v>
      </c>
      <c r="P201" s="111">
        <f t="shared" si="122"/>
        <v>7057.6756666666661</v>
      </c>
      <c r="Q201" s="113">
        <f t="shared" si="123"/>
        <v>52942.324333333338</v>
      </c>
    </row>
    <row r="202" spans="1:17" s="7" customFormat="1" ht="38.25" customHeight="1" x14ac:dyDescent="0.2">
      <c r="A202" s="106">
        <v>108</v>
      </c>
      <c r="B202" s="122" t="s">
        <v>871</v>
      </c>
      <c r="C202" s="122" t="s">
        <v>285</v>
      </c>
      <c r="D202" s="127" t="s">
        <v>608</v>
      </c>
      <c r="E202" s="108" t="s">
        <v>283</v>
      </c>
      <c r="F202" s="108" t="s">
        <v>19</v>
      </c>
      <c r="G202" s="109">
        <v>45748</v>
      </c>
      <c r="H202" s="123">
        <v>45931</v>
      </c>
      <c r="I202" s="111">
        <v>60000</v>
      </c>
      <c r="J202" s="111">
        <v>0</v>
      </c>
      <c r="K202" s="111">
        <f t="shared" ref="K202:K222" si="124">SUM(I202:J202)</f>
        <v>60000</v>
      </c>
      <c r="L202" s="111">
        <f>IF(I202&gt;=Datos!$D$14,(Datos!$D$14*Datos!$C$14),IF(I202&lt;=Datos!$D$14,(I202*Datos!$C$14)))</f>
        <v>1722</v>
      </c>
      <c r="M202" s="112">
        <f>IF((I202-L202-N202)&lt;=Datos!$G$7,"0",IF((I202-L202-N202)&lt;=Datos!$G$8,((I202-L202-N202)-Datos!$F$8)*Datos!$I$6,IF((I202-L202-N202)&lt;=Datos!$G$9,Datos!$I$8+((I202-L202-N202)-Datos!$F$9)*Datos!$J$6,IF((I202-L202-N202)&gt;=Datos!$F$10,(Datos!$I$8+Datos!$J$8)+((I202-L202-N202)-Datos!$F$10)*Datos!$K$6))))</f>
        <v>3486.6756666666661</v>
      </c>
      <c r="N202" s="111">
        <f>IF(I202&gt;=Datos!$D$15,(Datos!$D$15*Datos!$C$15),IF(I202&lt;=Datos!$D$15,(I202*Datos!$C$15)))</f>
        <v>1824</v>
      </c>
      <c r="O202" s="111">
        <v>25</v>
      </c>
      <c r="P202" s="111">
        <f t="shared" ref="P202:P222" si="125">SUM(L202:O202)</f>
        <v>7057.6756666666661</v>
      </c>
      <c r="Q202" s="113">
        <f t="shared" ref="Q202:Q222" si="126">+K202-P202</f>
        <v>52942.324333333338</v>
      </c>
    </row>
    <row r="203" spans="1:17" s="7" customFormat="1" ht="38.25" customHeight="1" x14ac:dyDescent="0.2">
      <c r="A203" s="106">
        <v>109</v>
      </c>
      <c r="B203" s="122" t="s">
        <v>872</v>
      </c>
      <c r="C203" s="122" t="s">
        <v>285</v>
      </c>
      <c r="D203" s="127" t="s">
        <v>622</v>
      </c>
      <c r="E203" s="108" t="s">
        <v>283</v>
      </c>
      <c r="F203" s="108" t="s">
        <v>19</v>
      </c>
      <c r="G203" s="109">
        <v>45748</v>
      </c>
      <c r="H203" s="123">
        <v>45931</v>
      </c>
      <c r="I203" s="111">
        <v>60000</v>
      </c>
      <c r="J203" s="111">
        <v>0</v>
      </c>
      <c r="K203" s="111">
        <f t="shared" si="124"/>
        <v>60000</v>
      </c>
      <c r="L203" s="111">
        <f>IF(I203&gt;=Datos!$D$14,(Datos!$D$14*Datos!$C$14),IF(I203&lt;=Datos!$D$14,(I203*Datos!$C$14)))</f>
        <v>1722</v>
      </c>
      <c r="M203" s="112">
        <f>IF((I203-L203-N203)&lt;=Datos!$G$7,"0",IF((I203-L203-N203)&lt;=Datos!$G$8,((I203-L203-N203)-Datos!$F$8)*Datos!$I$6,IF((I203-L203-N203)&lt;=Datos!$G$9,Datos!$I$8+((I203-L203-N203)-Datos!$F$9)*Datos!$J$6,IF((I203-L203-N203)&gt;=Datos!$F$10,(Datos!$I$8+Datos!$J$8)+((I203-L203-N203)-Datos!$F$10)*Datos!$K$6))))</f>
        <v>3486.6756666666661</v>
      </c>
      <c r="N203" s="111">
        <f>IF(I203&gt;=Datos!$D$15,(Datos!$D$15*Datos!$C$15),IF(I203&lt;=Datos!$D$15,(I203*Datos!$C$15)))</f>
        <v>1824</v>
      </c>
      <c r="O203" s="111">
        <v>25</v>
      </c>
      <c r="P203" s="111">
        <f t="shared" si="125"/>
        <v>7057.6756666666661</v>
      </c>
      <c r="Q203" s="113">
        <f t="shared" si="126"/>
        <v>52942.324333333338</v>
      </c>
    </row>
    <row r="204" spans="1:17" s="7" customFormat="1" ht="38.25" customHeight="1" x14ac:dyDescent="0.2">
      <c r="A204" s="106">
        <v>110</v>
      </c>
      <c r="B204" s="122" t="s">
        <v>873</v>
      </c>
      <c r="C204" s="122" t="s">
        <v>285</v>
      </c>
      <c r="D204" s="127" t="s">
        <v>622</v>
      </c>
      <c r="E204" s="108" t="s">
        <v>283</v>
      </c>
      <c r="F204" s="108" t="s">
        <v>19</v>
      </c>
      <c r="G204" s="109">
        <v>45748</v>
      </c>
      <c r="H204" s="123">
        <v>45931</v>
      </c>
      <c r="I204" s="111">
        <v>60000</v>
      </c>
      <c r="J204" s="111">
        <v>0</v>
      </c>
      <c r="K204" s="111">
        <f t="shared" si="124"/>
        <v>60000</v>
      </c>
      <c r="L204" s="111">
        <f>IF(I204&gt;=Datos!$D$14,(Datos!$D$14*Datos!$C$14),IF(I204&lt;=Datos!$D$14,(I204*Datos!$C$14)))</f>
        <v>1722</v>
      </c>
      <c r="M204" s="112">
        <f>IF((I204-L204-N204)&lt;=Datos!$G$7,"0",IF((I204-L204-N204)&lt;=Datos!$G$8,((I204-L204-N204)-Datos!$F$8)*Datos!$I$6,IF((I204-L204-N204)&lt;=Datos!$G$9,Datos!$I$8+((I204-L204-N204)-Datos!$F$9)*Datos!$J$6,IF((I204-L204-N204)&gt;=Datos!$F$10,(Datos!$I$8+Datos!$J$8)+((I204-L204-N204)-Datos!$F$10)*Datos!$K$6))))</f>
        <v>3486.6756666666661</v>
      </c>
      <c r="N204" s="111">
        <f>IF(I204&gt;=Datos!$D$15,(Datos!$D$15*Datos!$C$15),IF(I204&lt;=Datos!$D$15,(I204*Datos!$C$15)))</f>
        <v>1824</v>
      </c>
      <c r="O204" s="111">
        <v>25</v>
      </c>
      <c r="P204" s="111">
        <f t="shared" si="125"/>
        <v>7057.6756666666661</v>
      </c>
      <c r="Q204" s="113">
        <f t="shared" si="126"/>
        <v>52942.324333333338</v>
      </c>
    </row>
    <row r="205" spans="1:17" s="7" customFormat="1" ht="38.25" customHeight="1" x14ac:dyDescent="0.2">
      <c r="A205" s="106">
        <v>111</v>
      </c>
      <c r="B205" s="122" t="s">
        <v>874</v>
      </c>
      <c r="C205" s="122" t="s">
        <v>285</v>
      </c>
      <c r="D205" s="127" t="s">
        <v>622</v>
      </c>
      <c r="E205" s="108" t="s">
        <v>283</v>
      </c>
      <c r="F205" s="108" t="s">
        <v>19</v>
      </c>
      <c r="G205" s="109">
        <v>45748</v>
      </c>
      <c r="H205" s="123">
        <v>45931</v>
      </c>
      <c r="I205" s="111">
        <v>60000</v>
      </c>
      <c r="J205" s="111">
        <v>0</v>
      </c>
      <c r="K205" s="111">
        <f t="shared" si="124"/>
        <v>60000</v>
      </c>
      <c r="L205" s="111">
        <f>IF(I205&gt;=Datos!$D$14,(Datos!$D$14*Datos!$C$14),IF(I205&lt;=Datos!$D$14,(I205*Datos!$C$14)))</f>
        <v>1722</v>
      </c>
      <c r="M205" s="112">
        <f>IF((I205-L205-N205)&lt;=Datos!$G$7,"0",IF((I205-L205-N205)&lt;=Datos!$G$8,((I205-L205-N205)-Datos!$F$8)*Datos!$I$6,IF((I205-L205-N205)&lt;=Datos!$G$9,Datos!$I$8+((I205-L205-N205)-Datos!$F$9)*Datos!$J$6,IF((I205-L205-N205)&gt;=Datos!$F$10,(Datos!$I$8+Datos!$J$8)+((I205-L205-N205)-Datos!$F$10)*Datos!$K$6))))</f>
        <v>3486.6756666666661</v>
      </c>
      <c r="N205" s="111">
        <f>IF(I205&gt;=Datos!$D$15,(Datos!$D$15*Datos!$C$15),IF(I205&lt;=Datos!$D$15,(I205*Datos!$C$15)))</f>
        <v>1824</v>
      </c>
      <c r="O205" s="111">
        <v>25</v>
      </c>
      <c r="P205" s="111">
        <f t="shared" si="125"/>
        <v>7057.6756666666661</v>
      </c>
      <c r="Q205" s="113">
        <f t="shared" si="126"/>
        <v>52942.324333333338</v>
      </c>
    </row>
    <row r="206" spans="1:17" s="7" customFormat="1" ht="38.25" customHeight="1" x14ac:dyDescent="0.2">
      <c r="A206" s="106">
        <v>112</v>
      </c>
      <c r="B206" s="122" t="s">
        <v>875</v>
      </c>
      <c r="C206" s="122" t="s">
        <v>285</v>
      </c>
      <c r="D206" s="127" t="s">
        <v>452</v>
      </c>
      <c r="E206" s="108" t="s">
        <v>283</v>
      </c>
      <c r="F206" s="108" t="s">
        <v>19</v>
      </c>
      <c r="G206" s="109">
        <v>45748</v>
      </c>
      <c r="H206" s="123">
        <v>45931</v>
      </c>
      <c r="I206" s="111">
        <v>35000</v>
      </c>
      <c r="J206" s="111">
        <v>0</v>
      </c>
      <c r="K206" s="111">
        <f t="shared" si="124"/>
        <v>35000</v>
      </c>
      <c r="L206" s="111">
        <f>IF(I206&gt;=Datos!$D$14,(Datos!$D$14*Datos!$C$14),IF(I206&lt;=Datos!$D$14,(I206*Datos!$C$14)))</f>
        <v>1004.5</v>
      </c>
      <c r="M206" s="112" t="str">
        <f>IF((I206-L206-N206)&lt;=Datos!$G$7,"0",IF((I206-L206-N206)&lt;=Datos!$G$8,((I206-L206-N206)-Datos!$F$8)*Datos!$I$6,IF((I206-L206-N206)&lt;=Datos!$G$9,Datos!$I$8+((I206-L206-N206)-Datos!$F$9)*Datos!$J$6,IF((I206-L206-N206)&gt;=Datos!$F$10,(Datos!$I$8+Datos!$J$8)+((I206-L206-N206)-Datos!$F$10)*Datos!$K$6))))</f>
        <v>0</v>
      </c>
      <c r="N206" s="111">
        <f>IF(I206&gt;=Datos!$D$15,(Datos!$D$15*Datos!$C$15),IF(I206&lt;=Datos!$D$15,(I206*Datos!$C$15)))</f>
        <v>1064</v>
      </c>
      <c r="O206" s="111">
        <v>25</v>
      </c>
      <c r="P206" s="111">
        <f t="shared" si="125"/>
        <v>2093.5</v>
      </c>
      <c r="Q206" s="113">
        <f t="shared" si="126"/>
        <v>32906.5</v>
      </c>
    </row>
    <row r="207" spans="1:17" s="7" customFormat="1" ht="38.25" customHeight="1" x14ac:dyDescent="0.2">
      <c r="A207" s="106">
        <v>113</v>
      </c>
      <c r="B207" s="122" t="s">
        <v>876</v>
      </c>
      <c r="C207" s="122" t="s">
        <v>285</v>
      </c>
      <c r="D207" s="127" t="s">
        <v>870</v>
      </c>
      <c r="E207" s="108" t="s">
        <v>283</v>
      </c>
      <c r="F207" s="108" t="s">
        <v>19</v>
      </c>
      <c r="G207" s="109">
        <v>45748</v>
      </c>
      <c r="H207" s="123">
        <v>45931</v>
      </c>
      <c r="I207" s="111">
        <v>60000</v>
      </c>
      <c r="J207" s="111">
        <v>0</v>
      </c>
      <c r="K207" s="111">
        <f t="shared" si="124"/>
        <v>60000</v>
      </c>
      <c r="L207" s="111">
        <f>IF(I207&gt;=Datos!$D$14,(Datos!$D$14*Datos!$C$14),IF(I207&lt;=Datos!$D$14,(I207*Datos!$C$14)))</f>
        <v>1722</v>
      </c>
      <c r="M207" s="112">
        <f>IF((I207-L207-N207)&lt;=Datos!$G$7,"0",IF((I207-L207-N207)&lt;=Datos!$G$8,((I207-L207-N207)-Datos!$F$8)*Datos!$I$6,IF((I207-L207-N207)&lt;=Datos!$G$9,Datos!$I$8+((I207-L207-N207)-Datos!$F$9)*Datos!$J$6,IF((I207-L207-N207)&gt;=Datos!$F$10,(Datos!$I$8+Datos!$J$8)+((I207-L207-N207)-Datos!$F$10)*Datos!$K$6))))</f>
        <v>3486.6756666666661</v>
      </c>
      <c r="N207" s="111">
        <f>IF(I207&gt;=Datos!$D$15,(Datos!$D$15*Datos!$C$15),IF(I207&lt;=Datos!$D$15,(I207*Datos!$C$15)))</f>
        <v>1824</v>
      </c>
      <c r="O207" s="111">
        <v>25</v>
      </c>
      <c r="P207" s="111">
        <f t="shared" si="125"/>
        <v>7057.6756666666661</v>
      </c>
      <c r="Q207" s="113">
        <f t="shared" si="126"/>
        <v>52942.324333333338</v>
      </c>
    </row>
    <row r="208" spans="1:17" s="7" customFormat="1" ht="38.25" customHeight="1" x14ac:dyDescent="0.2">
      <c r="A208" s="106">
        <v>114</v>
      </c>
      <c r="B208" s="122" t="s">
        <v>877</v>
      </c>
      <c r="C208" s="122" t="s">
        <v>285</v>
      </c>
      <c r="D208" s="127" t="s">
        <v>870</v>
      </c>
      <c r="E208" s="108" t="s">
        <v>283</v>
      </c>
      <c r="F208" s="108" t="s">
        <v>19</v>
      </c>
      <c r="G208" s="109">
        <v>45748</v>
      </c>
      <c r="H208" s="123">
        <v>45931</v>
      </c>
      <c r="I208" s="111">
        <v>60000</v>
      </c>
      <c r="J208" s="111">
        <v>0</v>
      </c>
      <c r="K208" s="111">
        <f t="shared" si="124"/>
        <v>60000</v>
      </c>
      <c r="L208" s="111">
        <f>IF(I208&gt;=Datos!$D$14,(Datos!$D$14*Datos!$C$14),IF(I208&lt;=Datos!$D$14,(I208*Datos!$C$14)))</f>
        <v>1722</v>
      </c>
      <c r="M208" s="112">
        <f>IF((I208-L208-N208)&lt;=Datos!$G$7,"0",IF((I208-L208-N208)&lt;=Datos!$G$8,((I208-L208-N208)-Datos!$F$8)*Datos!$I$6,IF((I208-L208-N208)&lt;=Datos!$G$9,Datos!$I$8+((I208-L208-N208)-Datos!$F$9)*Datos!$J$6,IF((I208-L208-N208)&gt;=Datos!$F$10,(Datos!$I$8+Datos!$J$8)+((I208-L208-N208)-Datos!$F$10)*Datos!$K$6))))</f>
        <v>3486.6756666666661</v>
      </c>
      <c r="N208" s="111">
        <f>IF(I208&gt;=Datos!$D$15,(Datos!$D$15*Datos!$C$15),IF(I208&lt;=Datos!$D$15,(I208*Datos!$C$15)))</f>
        <v>1824</v>
      </c>
      <c r="O208" s="111">
        <v>25</v>
      </c>
      <c r="P208" s="111">
        <f t="shared" si="125"/>
        <v>7057.6756666666661</v>
      </c>
      <c r="Q208" s="113">
        <f t="shared" si="126"/>
        <v>52942.324333333338</v>
      </c>
    </row>
    <row r="209" spans="1:17" s="7" customFormat="1" ht="38.25" customHeight="1" x14ac:dyDescent="0.2">
      <c r="A209" s="106">
        <v>115</v>
      </c>
      <c r="B209" s="122" t="s">
        <v>878</v>
      </c>
      <c r="C209" s="122" t="s">
        <v>285</v>
      </c>
      <c r="D209" s="127" t="s">
        <v>870</v>
      </c>
      <c r="E209" s="108" t="s">
        <v>283</v>
      </c>
      <c r="F209" s="108" t="s">
        <v>281</v>
      </c>
      <c r="G209" s="109">
        <v>45748</v>
      </c>
      <c r="H209" s="123">
        <v>45931</v>
      </c>
      <c r="I209" s="111">
        <v>60000</v>
      </c>
      <c r="J209" s="111">
        <v>0</v>
      </c>
      <c r="K209" s="111">
        <f t="shared" si="124"/>
        <v>60000</v>
      </c>
      <c r="L209" s="111">
        <f>IF(I209&gt;=Datos!$D$14,(Datos!$D$14*Datos!$C$14),IF(I209&lt;=Datos!$D$14,(I209*Datos!$C$14)))</f>
        <v>1722</v>
      </c>
      <c r="M209" s="112">
        <f>IF((I209-L209-N209)&lt;=Datos!$G$7,"0",IF((I209-L209-N209)&lt;=Datos!$G$8,((I209-L209-N209)-Datos!$F$8)*Datos!$I$6,IF((I209-L209-N209)&lt;=Datos!$G$9,Datos!$I$8+((I209-L209-N209)-Datos!$F$9)*Datos!$J$6,IF((I209-L209-N209)&gt;=Datos!$F$10,(Datos!$I$8+Datos!$J$8)+((I209-L209-N209)-Datos!$F$10)*Datos!$K$6))))</f>
        <v>3486.6756666666661</v>
      </c>
      <c r="N209" s="111">
        <f>IF(I209&gt;=Datos!$D$15,(Datos!$D$15*Datos!$C$15),IF(I209&lt;=Datos!$D$15,(I209*Datos!$C$15)))</f>
        <v>1824</v>
      </c>
      <c r="O209" s="111">
        <v>25</v>
      </c>
      <c r="P209" s="111">
        <f t="shared" si="125"/>
        <v>7057.6756666666661</v>
      </c>
      <c r="Q209" s="113">
        <f t="shared" si="126"/>
        <v>52942.324333333338</v>
      </c>
    </row>
    <row r="210" spans="1:17" s="7" customFormat="1" ht="38.25" customHeight="1" x14ac:dyDescent="0.2">
      <c r="A210" s="106">
        <v>116</v>
      </c>
      <c r="B210" s="122" t="s">
        <v>879</v>
      </c>
      <c r="C210" s="122" t="s">
        <v>285</v>
      </c>
      <c r="D210" s="127" t="s">
        <v>870</v>
      </c>
      <c r="E210" s="108" t="s">
        <v>283</v>
      </c>
      <c r="F210" s="108" t="s">
        <v>19</v>
      </c>
      <c r="G210" s="109">
        <v>45748</v>
      </c>
      <c r="H210" s="123">
        <v>45931</v>
      </c>
      <c r="I210" s="111">
        <v>60000</v>
      </c>
      <c r="J210" s="111">
        <v>0</v>
      </c>
      <c r="K210" s="111">
        <f t="shared" si="124"/>
        <v>60000</v>
      </c>
      <c r="L210" s="111">
        <f>IF(I210&gt;=Datos!$D$14,(Datos!$D$14*Datos!$C$14),IF(I210&lt;=Datos!$D$14,(I210*Datos!$C$14)))</f>
        <v>1722</v>
      </c>
      <c r="M210" s="112">
        <f>IF((I210-L210-N210)&lt;=Datos!$G$7,"0",IF((I210-L210-N210)&lt;=Datos!$G$8,((I210-L210-N210)-Datos!$F$8)*Datos!$I$6,IF((I210-L210-N210)&lt;=Datos!$G$9,Datos!$I$8+((I210-L210-N210)-Datos!$F$9)*Datos!$J$6,IF((I210-L210-N210)&gt;=Datos!$F$10,(Datos!$I$8+Datos!$J$8)+((I210-L210-N210)-Datos!$F$10)*Datos!$K$6))))</f>
        <v>3486.6756666666661</v>
      </c>
      <c r="N210" s="111">
        <f>IF(I210&gt;=Datos!$D$15,(Datos!$D$15*Datos!$C$15),IF(I210&lt;=Datos!$D$15,(I210*Datos!$C$15)))</f>
        <v>1824</v>
      </c>
      <c r="O210" s="111">
        <v>25</v>
      </c>
      <c r="P210" s="111">
        <f t="shared" si="125"/>
        <v>7057.6756666666661</v>
      </c>
      <c r="Q210" s="113">
        <f t="shared" si="126"/>
        <v>52942.324333333338</v>
      </c>
    </row>
    <row r="211" spans="1:17" s="7" customFormat="1" ht="38.25" customHeight="1" x14ac:dyDescent="0.2">
      <c r="A211" s="106">
        <v>117</v>
      </c>
      <c r="B211" s="122" t="s">
        <v>880</v>
      </c>
      <c r="C211" s="122" t="s">
        <v>285</v>
      </c>
      <c r="D211" s="127" t="s">
        <v>452</v>
      </c>
      <c r="E211" s="108" t="s">
        <v>283</v>
      </c>
      <c r="F211" s="108" t="s">
        <v>19</v>
      </c>
      <c r="G211" s="109">
        <v>45748</v>
      </c>
      <c r="H211" s="123">
        <v>45931</v>
      </c>
      <c r="I211" s="111">
        <v>35000</v>
      </c>
      <c r="J211" s="111">
        <v>0</v>
      </c>
      <c r="K211" s="111">
        <f t="shared" si="124"/>
        <v>35000</v>
      </c>
      <c r="L211" s="111">
        <f>IF(I211&gt;=Datos!$D$14,(Datos!$D$14*Datos!$C$14),IF(I211&lt;=Datos!$D$14,(I211*Datos!$C$14)))</f>
        <v>1004.5</v>
      </c>
      <c r="M211" s="112" t="str">
        <f>IF((I211-L211-N211)&lt;=Datos!$G$7,"0",IF((I211-L211-N211)&lt;=Datos!$G$8,((I211-L211-N211)-Datos!$F$8)*Datos!$I$6,IF((I211-L211-N211)&lt;=Datos!$G$9,Datos!$I$8+((I211-L211-N211)-Datos!$F$9)*Datos!$J$6,IF((I211-L211-N211)&gt;=Datos!$F$10,(Datos!$I$8+Datos!$J$8)+((I211-L211-N211)-Datos!$F$10)*Datos!$K$6))))</f>
        <v>0</v>
      </c>
      <c r="N211" s="111">
        <f>IF(I211&gt;=Datos!$D$15,(Datos!$D$15*Datos!$C$15),IF(I211&lt;=Datos!$D$15,(I211*Datos!$C$15)))</f>
        <v>1064</v>
      </c>
      <c r="O211" s="111">
        <v>25</v>
      </c>
      <c r="P211" s="111">
        <f t="shared" si="125"/>
        <v>2093.5</v>
      </c>
      <c r="Q211" s="113">
        <f t="shared" si="126"/>
        <v>32906.5</v>
      </c>
    </row>
    <row r="212" spans="1:17" s="7" customFormat="1" ht="38.25" customHeight="1" x14ac:dyDescent="0.2">
      <c r="A212" s="106">
        <v>118</v>
      </c>
      <c r="B212" s="122" t="s">
        <v>881</v>
      </c>
      <c r="C212" s="122" t="s">
        <v>285</v>
      </c>
      <c r="D212" s="127" t="s">
        <v>452</v>
      </c>
      <c r="E212" s="108" t="s">
        <v>283</v>
      </c>
      <c r="F212" s="108" t="s">
        <v>19</v>
      </c>
      <c r="G212" s="109">
        <v>45748</v>
      </c>
      <c r="H212" s="123">
        <v>45931</v>
      </c>
      <c r="I212" s="111">
        <v>35000</v>
      </c>
      <c r="J212" s="111">
        <v>0</v>
      </c>
      <c r="K212" s="111">
        <f t="shared" si="124"/>
        <v>35000</v>
      </c>
      <c r="L212" s="111">
        <f>IF(I212&gt;=Datos!$D$14,(Datos!$D$14*Datos!$C$14),IF(I212&lt;=Datos!$D$14,(I212*Datos!$C$14)))</f>
        <v>1004.5</v>
      </c>
      <c r="M212" s="112" t="str">
        <f>IF((I212-L212-N212)&lt;=Datos!$G$7,"0",IF((I212-L212-N212)&lt;=Datos!$G$8,((I212-L212-N212)-Datos!$F$8)*Datos!$I$6,IF((I212-L212-N212)&lt;=Datos!$G$9,Datos!$I$8+((I212-L212-N212)-Datos!$F$9)*Datos!$J$6,IF((I212-L212-N212)&gt;=Datos!$F$10,(Datos!$I$8+Datos!$J$8)+((I212-L212-N212)-Datos!$F$10)*Datos!$K$6))))</f>
        <v>0</v>
      </c>
      <c r="N212" s="111">
        <f>IF(I212&gt;=Datos!$D$15,(Datos!$D$15*Datos!$C$15),IF(I212&lt;=Datos!$D$15,(I212*Datos!$C$15)))</f>
        <v>1064</v>
      </c>
      <c r="O212" s="111">
        <v>25</v>
      </c>
      <c r="P212" s="111">
        <f t="shared" si="125"/>
        <v>2093.5</v>
      </c>
      <c r="Q212" s="113">
        <f t="shared" si="126"/>
        <v>32906.5</v>
      </c>
    </row>
    <row r="213" spans="1:17" s="7" customFormat="1" ht="38.25" customHeight="1" x14ac:dyDescent="0.2">
      <c r="A213" s="106">
        <v>119</v>
      </c>
      <c r="B213" s="122" t="s">
        <v>882</v>
      </c>
      <c r="C213" s="122" t="s">
        <v>285</v>
      </c>
      <c r="D213" s="127" t="s">
        <v>452</v>
      </c>
      <c r="E213" s="108" t="s">
        <v>283</v>
      </c>
      <c r="F213" s="108" t="s">
        <v>19</v>
      </c>
      <c r="G213" s="109">
        <v>45748</v>
      </c>
      <c r="H213" s="123">
        <v>45931</v>
      </c>
      <c r="I213" s="111">
        <v>35000</v>
      </c>
      <c r="J213" s="111">
        <v>0</v>
      </c>
      <c r="K213" s="111">
        <f t="shared" si="124"/>
        <v>35000</v>
      </c>
      <c r="L213" s="111">
        <f>IF(I213&gt;=Datos!$D$14,(Datos!$D$14*Datos!$C$14),IF(I213&lt;=Datos!$D$14,(I213*Datos!$C$14)))</f>
        <v>1004.5</v>
      </c>
      <c r="M213" s="112" t="str">
        <f>IF((I213-L213-N213)&lt;=Datos!$G$7,"0",IF((I213-L213-N213)&lt;=Datos!$G$8,((I213-L213-N213)-Datos!$F$8)*Datos!$I$6,IF((I213-L213-N213)&lt;=Datos!$G$9,Datos!$I$8+((I213-L213-N213)-Datos!$F$9)*Datos!$J$6,IF((I213-L213-N213)&gt;=Datos!$F$10,(Datos!$I$8+Datos!$J$8)+((I213-L213-N213)-Datos!$F$10)*Datos!$K$6))))</f>
        <v>0</v>
      </c>
      <c r="N213" s="111">
        <f>IF(I213&gt;=Datos!$D$15,(Datos!$D$15*Datos!$C$15),IF(I213&lt;=Datos!$D$15,(I213*Datos!$C$15)))</f>
        <v>1064</v>
      </c>
      <c r="O213" s="111">
        <v>25</v>
      </c>
      <c r="P213" s="111">
        <f t="shared" si="125"/>
        <v>2093.5</v>
      </c>
      <c r="Q213" s="113">
        <f t="shared" si="126"/>
        <v>32906.5</v>
      </c>
    </row>
    <row r="214" spans="1:17" s="7" customFormat="1" ht="38.25" customHeight="1" x14ac:dyDescent="0.2">
      <c r="A214" s="106">
        <v>120</v>
      </c>
      <c r="B214" s="122" t="s">
        <v>883</v>
      </c>
      <c r="C214" s="122" t="s">
        <v>285</v>
      </c>
      <c r="D214" s="127" t="s">
        <v>452</v>
      </c>
      <c r="E214" s="108" t="s">
        <v>283</v>
      </c>
      <c r="F214" s="108" t="s">
        <v>19</v>
      </c>
      <c r="G214" s="109">
        <v>45748</v>
      </c>
      <c r="H214" s="123">
        <v>45931</v>
      </c>
      <c r="I214" s="111">
        <v>35000</v>
      </c>
      <c r="J214" s="111">
        <v>0</v>
      </c>
      <c r="K214" s="111">
        <f t="shared" si="124"/>
        <v>35000</v>
      </c>
      <c r="L214" s="111">
        <f>IF(I214&gt;=Datos!$D$14,(Datos!$D$14*Datos!$C$14),IF(I214&lt;=Datos!$D$14,(I214*Datos!$C$14)))</f>
        <v>1004.5</v>
      </c>
      <c r="M214" s="112" t="str">
        <f>IF((I214-L214-N214)&lt;=Datos!$G$7,"0",IF((I214-L214-N214)&lt;=Datos!$G$8,((I214-L214-N214)-Datos!$F$8)*Datos!$I$6,IF((I214-L214-N214)&lt;=Datos!$G$9,Datos!$I$8+((I214-L214-N214)-Datos!$F$9)*Datos!$J$6,IF((I214-L214-N214)&gt;=Datos!$F$10,(Datos!$I$8+Datos!$J$8)+((I214-L214-N214)-Datos!$F$10)*Datos!$K$6))))</f>
        <v>0</v>
      </c>
      <c r="N214" s="111">
        <f>IF(I214&gt;=Datos!$D$15,(Datos!$D$15*Datos!$C$15),IF(I214&lt;=Datos!$D$15,(I214*Datos!$C$15)))</f>
        <v>1064</v>
      </c>
      <c r="O214" s="111">
        <v>25</v>
      </c>
      <c r="P214" s="111">
        <f t="shared" si="125"/>
        <v>2093.5</v>
      </c>
      <c r="Q214" s="113">
        <f t="shared" si="126"/>
        <v>32906.5</v>
      </c>
    </row>
    <row r="215" spans="1:17" s="7" customFormat="1" ht="38.25" customHeight="1" x14ac:dyDescent="0.2">
      <c r="A215" s="106">
        <v>121</v>
      </c>
      <c r="B215" s="122" t="s">
        <v>884</v>
      </c>
      <c r="C215" s="122" t="s">
        <v>285</v>
      </c>
      <c r="D215" s="127" t="s">
        <v>452</v>
      </c>
      <c r="E215" s="108" t="s">
        <v>283</v>
      </c>
      <c r="F215" s="108" t="s">
        <v>281</v>
      </c>
      <c r="G215" s="109">
        <v>45748</v>
      </c>
      <c r="H215" s="123">
        <v>45931</v>
      </c>
      <c r="I215" s="111">
        <v>35000</v>
      </c>
      <c r="J215" s="111">
        <v>0</v>
      </c>
      <c r="K215" s="111">
        <f t="shared" si="124"/>
        <v>35000</v>
      </c>
      <c r="L215" s="111">
        <f>IF(I215&gt;=Datos!$D$14,(Datos!$D$14*Datos!$C$14),IF(I215&lt;=Datos!$D$14,(I215*Datos!$C$14)))</f>
        <v>1004.5</v>
      </c>
      <c r="M215" s="112" t="str">
        <f>IF((I215-L215-N215)&lt;=Datos!$G$7,"0",IF((I215-L215-N215)&lt;=Datos!$G$8,((I215-L215-N215)-Datos!$F$8)*Datos!$I$6,IF((I215-L215-N215)&lt;=Datos!$G$9,Datos!$I$8+((I215-L215-N215)-Datos!$F$9)*Datos!$J$6,IF((I215-L215-N215)&gt;=Datos!$F$10,(Datos!$I$8+Datos!$J$8)+((I215-L215-N215)-Datos!$F$10)*Datos!$K$6))))</f>
        <v>0</v>
      </c>
      <c r="N215" s="111">
        <f>IF(I215&gt;=Datos!$D$15,(Datos!$D$15*Datos!$C$15),IF(I215&lt;=Datos!$D$15,(I215*Datos!$C$15)))</f>
        <v>1064</v>
      </c>
      <c r="O215" s="111">
        <v>25</v>
      </c>
      <c r="P215" s="111">
        <f t="shared" si="125"/>
        <v>2093.5</v>
      </c>
      <c r="Q215" s="113">
        <f t="shared" si="126"/>
        <v>32906.5</v>
      </c>
    </row>
    <row r="216" spans="1:17" s="7" customFormat="1" ht="38.25" customHeight="1" x14ac:dyDescent="0.2">
      <c r="A216" s="106">
        <v>122</v>
      </c>
      <c r="B216" s="122" t="s">
        <v>885</v>
      </c>
      <c r="C216" s="122" t="s">
        <v>285</v>
      </c>
      <c r="D216" s="127" t="s">
        <v>288</v>
      </c>
      <c r="E216" s="108" t="s">
        <v>283</v>
      </c>
      <c r="F216" s="108" t="s">
        <v>19</v>
      </c>
      <c r="G216" s="109">
        <v>45748</v>
      </c>
      <c r="H216" s="123">
        <v>45931</v>
      </c>
      <c r="I216" s="111">
        <v>60000</v>
      </c>
      <c r="J216" s="111">
        <v>0</v>
      </c>
      <c r="K216" s="111">
        <f t="shared" si="124"/>
        <v>60000</v>
      </c>
      <c r="L216" s="111">
        <f>IF(I216&gt;=Datos!$D$14,(Datos!$D$14*Datos!$C$14),IF(I216&lt;=Datos!$D$14,(I216*Datos!$C$14)))</f>
        <v>1722</v>
      </c>
      <c r="M216" s="112">
        <f>IF((I216-L216-N216)&lt;=Datos!$G$7,"0",IF((I216-L216-N216)&lt;=Datos!$G$8,((I216-L216-N216)-Datos!$F$8)*Datos!$I$6,IF((I216-L216-N216)&lt;=Datos!$G$9,Datos!$I$8+((I216-L216-N216)-Datos!$F$9)*Datos!$J$6,IF((I216-L216-N216)&gt;=Datos!$F$10,(Datos!$I$8+Datos!$J$8)+((I216-L216-N216)-Datos!$F$10)*Datos!$K$6))))</f>
        <v>3486.6756666666661</v>
      </c>
      <c r="N216" s="111">
        <f>IF(I216&gt;=Datos!$D$15,(Datos!$D$15*Datos!$C$15),IF(I216&lt;=Datos!$D$15,(I216*Datos!$C$15)))</f>
        <v>1824</v>
      </c>
      <c r="O216" s="111">
        <v>25</v>
      </c>
      <c r="P216" s="111">
        <f t="shared" si="125"/>
        <v>7057.6756666666661</v>
      </c>
      <c r="Q216" s="113">
        <f t="shared" si="126"/>
        <v>52942.324333333338</v>
      </c>
    </row>
    <row r="217" spans="1:17" s="7" customFormat="1" ht="38.25" customHeight="1" x14ac:dyDescent="0.2">
      <c r="A217" s="106">
        <v>123</v>
      </c>
      <c r="B217" s="122" t="s">
        <v>886</v>
      </c>
      <c r="C217" s="122" t="s">
        <v>285</v>
      </c>
      <c r="D217" s="127" t="s">
        <v>288</v>
      </c>
      <c r="E217" s="108" t="s">
        <v>283</v>
      </c>
      <c r="F217" s="108" t="s">
        <v>19</v>
      </c>
      <c r="G217" s="109">
        <v>45748</v>
      </c>
      <c r="H217" s="123">
        <v>45931</v>
      </c>
      <c r="I217" s="111">
        <v>60000</v>
      </c>
      <c r="J217" s="111">
        <v>0</v>
      </c>
      <c r="K217" s="111">
        <f t="shared" si="124"/>
        <v>60000</v>
      </c>
      <c r="L217" s="111">
        <f>IF(I217&gt;=Datos!$D$14,(Datos!$D$14*Datos!$C$14),IF(I217&lt;=Datos!$D$14,(I217*Datos!$C$14)))</f>
        <v>1722</v>
      </c>
      <c r="M217" s="112">
        <f>IF((I217-L217-N217)&lt;=Datos!$G$7,"0",IF((I217-L217-N217)&lt;=Datos!$G$8,((I217-L217-N217)-Datos!$F$8)*Datos!$I$6,IF((I217-L217-N217)&lt;=Datos!$G$9,Datos!$I$8+((I217-L217-N217)-Datos!$F$9)*Datos!$J$6,IF((I217-L217-N217)&gt;=Datos!$F$10,(Datos!$I$8+Datos!$J$8)+((I217-L217-N217)-Datos!$F$10)*Datos!$K$6))))</f>
        <v>3486.6756666666661</v>
      </c>
      <c r="N217" s="111">
        <f>IF(I217&gt;=Datos!$D$15,(Datos!$D$15*Datos!$C$15),IF(I217&lt;=Datos!$D$15,(I217*Datos!$C$15)))</f>
        <v>1824</v>
      </c>
      <c r="O217" s="111">
        <v>25</v>
      </c>
      <c r="P217" s="111">
        <f t="shared" si="125"/>
        <v>7057.6756666666661</v>
      </c>
      <c r="Q217" s="113">
        <f t="shared" si="126"/>
        <v>52942.324333333338</v>
      </c>
    </row>
    <row r="218" spans="1:17" s="7" customFormat="1" ht="38.25" customHeight="1" x14ac:dyDescent="0.2">
      <c r="A218" s="106">
        <v>124</v>
      </c>
      <c r="B218" s="122" t="s">
        <v>887</v>
      </c>
      <c r="C218" s="122" t="s">
        <v>285</v>
      </c>
      <c r="D218" s="127" t="s">
        <v>288</v>
      </c>
      <c r="E218" s="108" t="s">
        <v>283</v>
      </c>
      <c r="F218" s="108" t="s">
        <v>19</v>
      </c>
      <c r="G218" s="109">
        <v>45748</v>
      </c>
      <c r="H218" s="123">
        <v>45931</v>
      </c>
      <c r="I218" s="111">
        <v>60000</v>
      </c>
      <c r="J218" s="111">
        <v>0</v>
      </c>
      <c r="K218" s="111">
        <f t="shared" si="124"/>
        <v>60000</v>
      </c>
      <c r="L218" s="111">
        <f>IF(I218&gt;=Datos!$D$14,(Datos!$D$14*Datos!$C$14),IF(I218&lt;=Datos!$D$14,(I218*Datos!$C$14)))</f>
        <v>1722</v>
      </c>
      <c r="M218" s="112">
        <f>IF((I218-L218-N218)&lt;=Datos!$G$7,"0",IF((I218-L218-N218)&lt;=Datos!$G$8,((I218-L218-N218)-Datos!$F$8)*Datos!$I$6,IF((I218-L218-N218)&lt;=Datos!$G$9,Datos!$I$8+((I218-L218-N218)-Datos!$F$9)*Datos!$J$6,IF((I218-L218-N218)&gt;=Datos!$F$10,(Datos!$I$8+Datos!$J$8)+((I218-L218-N218)-Datos!$F$10)*Datos!$K$6))))</f>
        <v>3486.6756666666661</v>
      </c>
      <c r="N218" s="111">
        <f>IF(I218&gt;=Datos!$D$15,(Datos!$D$15*Datos!$C$15),IF(I218&lt;=Datos!$D$15,(I218*Datos!$C$15)))</f>
        <v>1824</v>
      </c>
      <c r="O218" s="111">
        <v>25</v>
      </c>
      <c r="P218" s="111">
        <f t="shared" si="125"/>
        <v>7057.6756666666661</v>
      </c>
      <c r="Q218" s="113">
        <f t="shared" si="126"/>
        <v>52942.324333333338</v>
      </c>
    </row>
    <row r="219" spans="1:17" s="7" customFormat="1" ht="38.25" customHeight="1" x14ac:dyDescent="0.2">
      <c r="A219" s="106">
        <v>125</v>
      </c>
      <c r="B219" s="122" t="s">
        <v>888</v>
      </c>
      <c r="C219" s="122" t="s">
        <v>285</v>
      </c>
      <c r="D219" s="127" t="s">
        <v>288</v>
      </c>
      <c r="E219" s="108" t="s">
        <v>283</v>
      </c>
      <c r="F219" s="108" t="s">
        <v>19</v>
      </c>
      <c r="G219" s="109">
        <v>45748</v>
      </c>
      <c r="H219" s="123">
        <v>45931</v>
      </c>
      <c r="I219" s="111">
        <v>60000</v>
      </c>
      <c r="J219" s="111">
        <v>0</v>
      </c>
      <c r="K219" s="111">
        <f t="shared" si="124"/>
        <v>60000</v>
      </c>
      <c r="L219" s="111">
        <f>IF(I219&gt;=Datos!$D$14,(Datos!$D$14*Datos!$C$14),IF(I219&lt;=Datos!$D$14,(I219*Datos!$C$14)))</f>
        <v>1722</v>
      </c>
      <c r="M219" s="112">
        <f>IF((I219-L219-N219)&lt;=Datos!$G$7,"0",IF((I219-L219-N219)&lt;=Datos!$G$8,((I219-L219-N219)-Datos!$F$8)*Datos!$I$6,IF((I219-L219-N219)&lt;=Datos!$G$9,Datos!$I$8+((I219-L219-N219)-Datos!$F$9)*Datos!$J$6,IF((I219-L219-N219)&gt;=Datos!$F$10,(Datos!$I$8+Datos!$J$8)+((I219-L219-N219)-Datos!$F$10)*Datos!$K$6))))</f>
        <v>3486.6756666666661</v>
      </c>
      <c r="N219" s="111">
        <f>IF(I219&gt;=Datos!$D$15,(Datos!$D$15*Datos!$C$15),IF(I219&lt;=Datos!$D$15,(I219*Datos!$C$15)))</f>
        <v>1824</v>
      </c>
      <c r="O219" s="111">
        <v>25</v>
      </c>
      <c r="P219" s="111">
        <f t="shared" si="125"/>
        <v>7057.6756666666661</v>
      </c>
      <c r="Q219" s="113">
        <f t="shared" si="126"/>
        <v>52942.324333333338</v>
      </c>
    </row>
    <row r="220" spans="1:17" s="7" customFormat="1" ht="38.25" customHeight="1" x14ac:dyDescent="0.2">
      <c r="A220" s="106">
        <v>126</v>
      </c>
      <c r="B220" s="122" t="s">
        <v>889</v>
      </c>
      <c r="C220" s="122" t="s">
        <v>285</v>
      </c>
      <c r="D220" s="127" t="s">
        <v>288</v>
      </c>
      <c r="E220" s="108" t="s">
        <v>283</v>
      </c>
      <c r="F220" s="108" t="s">
        <v>19</v>
      </c>
      <c r="G220" s="109">
        <v>45748</v>
      </c>
      <c r="H220" s="123">
        <v>45931</v>
      </c>
      <c r="I220" s="111">
        <v>60000</v>
      </c>
      <c r="J220" s="111">
        <v>0</v>
      </c>
      <c r="K220" s="111">
        <f t="shared" si="124"/>
        <v>60000</v>
      </c>
      <c r="L220" s="111">
        <f>IF(I220&gt;=Datos!$D$14,(Datos!$D$14*Datos!$C$14),IF(I220&lt;=Datos!$D$14,(I220*Datos!$C$14)))</f>
        <v>1722</v>
      </c>
      <c r="M220" s="112">
        <v>2800.49</v>
      </c>
      <c r="N220" s="111">
        <f>IF(I220&gt;=Datos!$D$15,(Datos!$D$15*Datos!$C$15),IF(I220&lt;=Datos!$D$15,(I220*Datos!$C$15)))</f>
        <v>1824</v>
      </c>
      <c r="O220" s="111">
        <v>3455.92</v>
      </c>
      <c r="P220" s="111">
        <f t="shared" si="125"/>
        <v>9802.41</v>
      </c>
      <c r="Q220" s="113">
        <f t="shared" si="126"/>
        <v>50197.59</v>
      </c>
    </row>
    <row r="221" spans="1:17" s="7" customFormat="1" ht="38.25" customHeight="1" x14ac:dyDescent="0.2">
      <c r="A221" s="106">
        <v>127</v>
      </c>
      <c r="B221" s="122" t="s">
        <v>890</v>
      </c>
      <c r="C221" s="122" t="s">
        <v>285</v>
      </c>
      <c r="D221" s="127" t="s">
        <v>452</v>
      </c>
      <c r="E221" s="108" t="s">
        <v>283</v>
      </c>
      <c r="F221" s="108" t="s">
        <v>19</v>
      </c>
      <c r="G221" s="109">
        <v>45748</v>
      </c>
      <c r="H221" s="123">
        <v>45931</v>
      </c>
      <c r="I221" s="111">
        <v>35000</v>
      </c>
      <c r="J221" s="111">
        <v>0</v>
      </c>
      <c r="K221" s="111">
        <f t="shared" si="124"/>
        <v>35000</v>
      </c>
      <c r="L221" s="111">
        <f>IF(I221&gt;=Datos!$D$14,(Datos!$D$14*Datos!$C$14),IF(I221&lt;=Datos!$D$14,(I221*Datos!$C$14)))</f>
        <v>1004.5</v>
      </c>
      <c r="M221" s="112" t="str">
        <f>IF((I221-L221-N221)&lt;=Datos!$G$7,"0",IF((I221-L221-N221)&lt;=Datos!$G$8,((I221-L221-N221)-Datos!$F$8)*Datos!$I$6,IF((I221-L221-N221)&lt;=Datos!$G$9,Datos!$I$8+((I221-L221-N221)-Datos!$F$9)*Datos!$J$6,IF((I221-L221-N221)&gt;=Datos!$F$10,(Datos!$I$8+Datos!$J$8)+((I221-L221-N221)-Datos!$F$10)*Datos!$K$6))))</f>
        <v>0</v>
      </c>
      <c r="N221" s="111">
        <f>IF(I221&gt;=Datos!$D$15,(Datos!$D$15*Datos!$C$15),IF(I221&lt;=Datos!$D$15,(I221*Datos!$C$15)))</f>
        <v>1064</v>
      </c>
      <c r="O221" s="111">
        <v>25</v>
      </c>
      <c r="P221" s="111">
        <f t="shared" si="125"/>
        <v>2093.5</v>
      </c>
      <c r="Q221" s="113">
        <f t="shared" si="126"/>
        <v>32906.5</v>
      </c>
    </row>
    <row r="222" spans="1:17" s="7" customFormat="1" ht="38.25" customHeight="1" x14ac:dyDescent="0.2">
      <c r="A222" s="106">
        <v>128</v>
      </c>
      <c r="B222" s="122" t="s">
        <v>891</v>
      </c>
      <c r="C222" s="122" t="s">
        <v>285</v>
      </c>
      <c r="D222" s="127" t="s">
        <v>622</v>
      </c>
      <c r="E222" s="108" t="s">
        <v>283</v>
      </c>
      <c r="F222" s="108" t="s">
        <v>19</v>
      </c>
      <c r="G222" s="109">
        <v>45748</v>
      </c>
      <c r="H222" s="123">
        <v>45931</v>
      </c>
      <c r="I222" s="111">
        <v>60000</v>
      </c>
      <c r="J222" s="111">
        <v>0</v>
      </c>
      <c r="K222" s="111">
        <f t="shared" si="124"/>
        <v>60000</v>
      </c>
      <c r="L222" s="111">
        <f>IF(I222&gt;=Datos!$D$14,(Datos!$D$14*Datos!$C$14),IF(I222&lt;=Datos!$D$14,(I222*Datos!$C$14)))</f>
        <v>1722</v>
      </c>
      <c r="M222" s="112">
        <f>IF((I222-L222-N222)&lt;=Datos!$G$7,"0",IF((I222-L222-N222)&lt;=Datos!$G$8,((I222-L222-N222)-Datos!$F$8)*Datos!$I$6,IF((I222-L222-N222)&lt;=Datos!$G$9,Datos!$I$8+((I222-L222-N222)-Datos!$F$9)*Datos!$J$6,IF((I222-L222-N222)&gt;=Datos!$F$10,(Datos!$I$8+Datos!$J$8)+((I222-L222-N222)-Datos!$F$10)*Datos!$K$6))))</f>
        <v>3486.6756666666661</v>
      </c>
      <c r="N222" s="111">
        <f>IF(I222&gt;=Datos!$D$15,(Datos!$D$15*Datos!$C$15),IF(I222&lt;=Datos!$D$15,(I222*Datos!$C$15)))</f>
        <v>1824</v>
      </c>
      <c r="O222" s="111">
        <v>25</v>
      </c>
      <c r="P222" s="111">
        <f t="shared" si="125"/>
        <v>7057.6756666666661</v>
      </c>
      <c r="Q222" s="113">
        <f t="shared" si="126"/>
        <v>52942.324333333338</v>
      </c>
    </row>
    <row r="223" spans="1:17" s="85" customFormat="1" ht="36.75" customHeight="1" x14ac:dyDescent="0.2">
      <c r="A223" s="303" t="s">
        <v>455</v>
      </c>
      <c r="B223" s="305"/>
      <c r="C223" s="116">
        <v>44</v>
      </c>
      <c r="D223" s="307"/>
      <c r="E223" s="307"/>
      <c r="F223" s="307"/>
      <c r="G223" s="307"/>
      <c r="H223" s="308"/>
      <c r="I223" s="121">
        <f>SUM(I179:I222)</f>
        <v>2102800</v>
      </c>
      <c r="J223" s="121">
        <f t="shared" ref="J223:Q223" si="127">SUM(J179:J222)</f>
        <v>0</v>
      </c>
      <c r="K223" s="121">
        <f t="shared" si="127"/>
        <v>2102800</v>
      </c>
      <c r="L223" s="121">
        <f t="shared" si="127"/>
        <v>60350.36</v>
      </c>
      <c r="M223" s="121">
        <f t="shared" si="127"/>
        <v>79304.111666666635</v>
      </c>
      <c r="N223" s="121">
        <f t="shared" si="127"/>
        <v>63925.120000000003</v>
      </c>
      <c r="O223" s="121">
        <f t="shared" si="127"/>
        <v>6246.38</v>
      </c>
      <c r="P223" s="121">
        <f t="shared" si="127"/>
        <v>209825.97166666671</v>
      </c>
      <c r="Q223" s="121">
        <f t="shared" si="127"/>
        <v>1892974.0283333338</v>
      </c>
    </row>
    <row r="224" spans="1:17" s="7" customFormat="1" ht="36.75" customHeight="1" x14ac:dyDescent="0.2">
      <c r="A224" s="303" t="s">
        <v>940</v>
      </c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6"/>
    </row>
    <row r="225" spans="1:17" s="7" customFormat="1" ht="38.25" customHeight="1" x14ac:dyDescent="0.2">
      <c r="A225" s="106">
        <v>129</v>
      </c>
      <c r="B225" s="122" t="s">
        <v>264</v>
      </c>
      <c r="C225" s="122" t="s">
        <v>412</v>
      </c>
      <c r="D225" s="127" t="s">
        <v>941</v>
      </c>
      <c r="E225" s="108" t="s">
        <v>283</v>
      </c>
      <c r="F225" s="108" t="s">
        <v>19</v>
      </c>
      <c r="G225" s="109">
        <v>45809</v>
      </c>
      <c r="H225" s="123">
        <v>45992</v>
      </c>
      <c r="I225" s="111">
        <v>115000</v>
      </c>
      <c r="J225" s="111">
        <v>0</v>
      </c>
      <c r="K225" s="111">
        <f>SUM(I225:J225)</f>
        <v>115000</v>
      </c>
      <c r="L225" s="111">
        <f>IF(I225&gt;=Datos!$D$14,(Datos!$D$14*Datos!$C$14),IF(I225&lt;=Datos!$D$14,(I225*Datos!$C$14)))</f>
        <v>3300.5</v>
      </c>
      <c r="M225" s="112">
        <f>IF((I225-L225-N225)&lt;=Datos!$G$7,"0",IF((I225-L225-N225)&lt;=Datos!$G$8,((I225-L225-N225)-Datos!$F$8)*Datos!$I$6,IF((I225-L225-N225)&lt;=Datos!$G$9,Datos!$I$8+((I225-L225-N225)-Datos!$F$9)*Datos!$J$6,IF((I225-L225-N225)&gt;=Datos!$F$10,(Datos!$I$8+Datos!$J$8)+((I225-L225-N225)-Datos!$F$10)*Datos!$K$6))))</f>
        <v>15633.735666666667</v>
      </c>
      <c r="N225" s="111">
        <f>IF(I225&gt;=Datos!$D$15,(Datos!$D$15*Datos!$C$15),IF(I225&lt;=Datos!$D$15,(I225*Datos!$C$15)))</f>
        <v>3496</v>
      </c>
      <c r="O225" s="111">
        <v>25</v>
      </c>
      <c r="P225" s="111">
        <f>SUM(L225:O225)</f>
        <v>22455.235666666667</v>
      </c>
      <c r="Q225" s="113">
        <f>+K225-P225</f>
        <v>92544.764333333325</v>
      </c>
    </row>
    <row r="226" spans="1:17" s="85" customFormat="1" ht="36.75" customHeight="1" x14ac:dyDescent="0.2">
      <c r="A226" s="303" t="s">
        <v>455</v>
      </c>
      <c r="B226" s="305"/>
      <c r="C226" s="116">
        <v>1</v>
      </c>
      <c r="D226" s="307"/>
      <c r="E226" s="307"/>
      <c r="F226" s="307"/>
      <c r="G226" s="307"/>
      <c r="H226" s="308"/>
      <c r="I226" s="121">
        <f>SUM(I225)</f>
        <v>115000</v>
      </c>
      <c r="J226" s="121">
        <f t="shared" ref="J226:Q226" si="128">SUM(J225)</f>
        <v>0</v>
      </c>
      <c r="K226" s="121">
        <f t="shared" si="128"/>
        <v>115000</v>
      </c>
      <c r="L226" s="121">
        <f t="shared" si="128"/>
        <v>3300.5</v>
      </c>
      <c r="M226" s="121">
        <f t="shared" si="128"/>
        <v>15633.735666666667</v>
      </c>
      <c r="N226" s="121">
        <f t="shared" si="128"/>
        <v>3496</v>
      </c>
      <c r="O226" s="121">
        <f t="shared" si="128"/>
        <v>25</v>
      </c>
      <c r="P226" s="121">
        <f t="shared" si="128"/>
        <v>22455.235666666667</v>
      </c>
      <c r="Q226" s="121">
        <f t="shared" si="128"/>
        <v>92544.764333333325</v>
      </c>
    </row>
    <row r="227" spans="1:17" s="7" customFormat="1" ht="36.75" customHeight="1" x14ac:dyDescent="0.2">
      <c r="A227" s="303" t="s">
        <v>613</v>
      </c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6"/>
    </row>
    <row r="228" spans="1:17" s="7" customFormat="1" ht="38.25" customHeight="1" x14ac:dyDescent="0.2">
      <c r="A228" s="106">
        <v>130</v>
      </c>
      <c r="B228" s="122" t="s">
        <v>811</v>
      </c>
      <c r="C228" s="122" t="s">
        <v>332</v>
      </c>
      <c r="D228" s="127" t="s">
        <v>452</v>
      </c>
      <c r="E228" s="108" t="s">
        <v>283</v>
      </c>
      <c r="F228" s="108" t="s">
        <v>19</v>
      </c>
      <c r="G228" s="109">
        <v>45717</v>
      </c>
      <c r="H228" s="123">
        <v>45901</v>
      </c>
      <c r="I228" s="111">
        <v>35000</v>
      </c>
      <c r="J228" s="111">
        <v>0</v>
      </c>
      <c r="K228" s="111">
        <f t="shared" ref="K228" si="129">SUM(I228:J228)</f>
        <v>35000</v>
      </c>
      <c r="L228" s="111">
        <f>IF(I228&gt;=Datos!$D$14,(Datos!$D$14*Datos!$C$14),IF(I228&lt;=Datos!$D$14,(I228*Datos!$C$14)))</f>
        <v>1004.5</v>
      </c>
      <c r="M228" s="112" t="str">
        <f>IF((I228-L228-N228)&lt;=Datos!$G$7,"0",IF((I228-L228-N228)&lt;=Datos!$G$8,((I228-L228-N228)-Datos!$F$8)*Datos!$I$6,IF((I228-L228-N228)&lt;=Datos!$G$9,Datos!$I$8+((I228-L228-N228)-Datos!$F$9)*Datos!$J$6,IF((I228-L228-N228)&gt;=Datos!$F$10,(Datos!$I$8+Datos!$J$8)+((I228-L228-N228)-Datos!$F$10)*Datos!$K$6))))</f>
        <v>0</v>
      </c>
      <c r="N228" s="111">
        <f>IF(I228&gt;=Datos!$D$15,(Datos!$D$15*Datos!$C$15),IF(I228&lt;=Datos!$D$15,(I228*Datos!$C$15)))</f>
        <v>1064</v>
      </c>
      <c r="O228" s="111">
        <v>25</v>
      </c>
      <c r="P228" s="111">
        <f>SUM(L228:O228)</f>
        <v>2093.5</v>
      </c>
      <c r="Q228" s="113">
        <f>+K228-P228</f>
        <v>32906.5</v>
      </c>
    </row>
    <row r="229" spans="1:17" s="7" customFormat="1" ht="38.25" customHeight="1" x14ac:dyDescent="0.2">
      <c r="A229" s="106">
        <v>131</v>
      </c>
      <c r="B229" s="122" t="s">
        <v>812</v>
      </c>
      <c r="C229" s="122" t="s">
        <v>332</v>
      </c>
      <c r="D229" s="127" t="s">
        <v>452</v>
      </c>
      <c r="E229" s="108" t="s">
        <v>283</v>
      </c>
      <c r="F229" s="108" t="s">
        <v>19</v>
      </c>
      <c r="G229" s="109">
        <v>45717</v>
      </c>
      <c r="H229" s="123">
        <v>45901</v>
      </c>
      <c r="I229" s="111">
        <v>35000</v>
      </c>
      <c r="J229" s="111">
        <v>0</v>
      </c>
      <c r="K229" s="111">
        <f t="shared" ref="K229:K233" si="130">SUM(I229:J229)</f>
        <v>35000</v>
      </c>
      <c r="L229" s="111">
        <f>IF(I229&gt;=Datos!$D$14,(Datos!$D$14*Datos!$C$14),IF(I229&lt;=Datos!$D$14,(I229*Datos!$C$14)))</f>
        <v>1004.5</v>
      </c>
      <c r="M229" s="112" t="str">
        <f>IF((I229-L229-N229)&lt;=Datos!$G$7,"0",IF((I229-L229-N229)&lt;=Datos!$G$8,((I229-L229-N229)-Datos!$F$8)*Datos!$I$6,IF((I229-L229-N229)&lt;=Datos!$G$9,Datos!$I$8+((I229-L229-N229)-Datos!$F$9)*Datos!$J$6,IF((I229-L229-N229)&gt;=Datos!$F$10,(Datos!$I$8+Datos!$J$8)+((I229-L229-N229)-Datos!$F$10)*Datos!$K$6))))</f>
        <v>0</v>
      </c>
      <c r="N229" s="111">
        <f>IF(I229&gt;=Datos!$D$15,(Datos!$D$15*Datos!$C$15),IF(I229&lt;=Datos!$D$15,(I229*Datos!$C$15)))</f>
        <v>1064</v>
      </c>
      <c r="O229" s="111">
        <v>25</v>
      </c>
      <c r="P229" s="111">
        <f t="shared" ref="P229:P233" si="131">SUM(L229:O229)</f>
        <v>2093.5</v>
      </c>
      <c r="Q229" s="113">
        <f t="shared" ref="Q229:Q233" si="132">+K229-P229</f>
        <v>32906.5</v>
      </c>
    </row>
    <row r="230" spans="1:17" s="7" customFormat="1" ht="38.25" customHeight="1" x14ac:dyDescent="0.2">
      <c r="A230" s="106">
        <v>132</v>
      </c>
      <c r="B230" s="122" t="s">
        <v>813</v>
      </c>
      <c r="C230" s="122" t="s">
        <v>332</v>
      </c>
      <c r="D230" s="127" t="s">
        <v>288</v>
      </c>
      <c r="E230" s="108" t="s">
        <v>283</v>
      </c>
      <c r="F230" s="108" t="s">
        <v>19</v>
      </c>
      <c r="G230" s="109">
        <v>45717</v>
      </c>
      <c r="H230" s="123">
        <v>45901</v>
      </c>
      <c r="I230" s="111">
        <v>60000</v>
      </c>
      <c r="J230" s="111">
        <v>0</v>
      </c>
      <c r="K230" s="111">
        <f t="shared" si="130"/>
        <v>60000</v>
      </c>
      <c r="L230" s="111">
        <f>IF(I230&gt;=Datos!$D$14,(Datos!$D$14*Datos!$C$14),IF(I230&lt;=Datos!$D$14,(I230*Datos!$C$14)))</f>
        <v>1722</v>
      </c>
      <c r="M230" s="112">
        <v>3143.58</v>
      </c>
      <c r="N230" s="111">
        <f>IF(I230&gt;=Datos!$D$15,(Datos!$D$15*Datos!$C$15),IF(I230&lt;=Datos!$D$15,(I230*Datos!$C$15)))</f>
        <v>1824</v>
      </c>
      <c r="O230" s="111">
        <v>1740.46</v>
      </c>
      <c r="P230" s="111">
        <f t="shared" si="131"/>
        <v>8430.0400000000009</v>
      </c>
      <c r="Q230" s="113">
        <f t="shared" si="132"/>
        <v>51569.96</v>
      </c>
    </row>
    <row r="231" spans="1:17" s="7" customFormat="1" ht="38.25" customHeight="1" x14ac:dyDescent="0.2">
      <c r="A231" s="106">
        <v>133</v>
      </c>
      <c r="B231" s="122" t="s">
        <v>814</v>
      </c>
      <c r="C231" s="122" t="s">
        <v>332</v>
      </c>
      <c r="D231" s="127" t="s">
        <v>608</v>
      </c>
      <c r="E231" s="108" t="s">
        <v>283</v>
      </c>
      <c r="F231" s="108" t="s">
        <v>19</v>
      </c>
      <c r="G231" s="109">
        <v>45717</v>
      </c>
      <c r="H231" s="123">
        <v>45901</v>
      </c>
      <c r="I231" s="111">
        <v>60000</v>
      </c>
      <c r="J231" s="111">
        <v>0</v>
      </c>
      <c r="K231" s="111">
        <f t="shared" si="130"/>
        <v>60000</v>
      </c>
      <c r="L231" s="111">
        <f>IF(I231&gt;=Datos!$D$14,(Datos!$D$14*Datos!$C$14),IF(I231&lt;=Datos!$D$14,(I231*Datos!$C$14)))</f>
        <v>1722</v>
      </c>
      <c r="M231" s="112">
        <f>IF((I231-L231-N231)&lt;=Datos!$G$7,"0",IF((I231-L231-N231)&lt;=Datos!$G$8,((I231-L231-N231)-Datos!$F$8)*Datos!$I$6,IF((I231-L231-N231)&lt;=Datos!$G$9,Datos!$I$8+((I231-L231-N231)-Datos!$F$9)*Datos!$J$6,IF((I231-L231-N231)&gt;=Datos!$F$10,(Datos!$I$8+Datos!$J$8)+((I231-L231-N231)-Datos!$F$10)*Datos!$K$6))))</f>
        <v>3486.6756666666661</v>
      </c>
      <c r="N231" s="111">
        <f>IF(I231&gt;=Datos!$D$15,(Datos!$D$15*Datos!$C$15),IF(I231&lt;=Datos!$D$15,(I231*Datos!$C$15)))</f>
        <v>1824</v>
      </c>
      <c r="O231" s="111">
        <v>25</v>
      </c>
      <c r="P231" s="111">
        <f t="shared" si="131"/>
        <v>7057.6756666666661</v>
      </c>
      <c r="Q231" s="113">
        <f t="shared" si="132"/>
        <v>52942.324333333338</v>
      </c>
    </row>
    <row r="232" spans="1:17" s="7" customFormat="1" ht="38.25" customHeight="1" x14ac:dyDescent="0.2">
      <c r="A232" s="106">
        <v>134</v>
      </c>
      <c r="B232" s="122" t="s">
        <v>815</v>
      </c>
      <c r="C232" s="122" t="s">
        <v>332</v>
      </c>
      <c r="D232" s="127" t="s">
        <v>608</v>
      </c>
      <c r="E232" s="108" t="s">
        <v>283</v>
      </c>
      <c r="F232" s="108" t="s">
        <v>19</v>
      </c>
      <c r="G232" s="109">
        <v>45717</v>
      </c>
      <c r="H232" s="123">
        <v>45901</v>
      </c>
      <c r="I232" s="111">
        <v>60000</v>
      </c>
      <c r="J232" s="111">
        <v>0</v>
      </c>
      <c r="K232" s="111">
        <f t="shared" si="130"/>
        <v>60000</v>
      </c>
      <c r="L232" s="111">
        <f>IF(I232&gt;=Datos!$D$14,(Datos!$D$14*Datos!$C$14),IF(I232&lt;=Datos!$D$14,(I232*Datos!$C$14)))</f>
        <v>1722</v>
      </c>
      <c r="M232" s="112">
        <v>2800.49</v>
      </c>
      <c r="N232" s="111">
        <f>IF(I232&gt;=Datos!$D$15,(Datos!$D$15*Datos!$C$15),IF(I232&lt;=Datos!$D$15,(I232*Datos!$C$15)))</f>
        <v>1824</v>
      </c>
      <c r="O232" s="111">
        <v>3455.92</v>
      </c>
      <c r="P232" s="111">
        <f t="shared" si="131"/>
        <v>9802.41</v>
      </c>
      <c r="Q232" s="113">
        <f t="shared" si="132"/>
        <v>50197.59</v>
      </c>
    </row>
    <row r="233" spans="1:17" s="7" customFormat="1" ht="38.25" customHeight="1" x14ac:dyDescent="0.2">
      <c r="A233" s="106">
        <v>135</v>
      </c>
      <c r="B233" s="122" t="s">
        <v>816</v>
      </c>
      <c r="C233" s="122" t="s">
        <v>332</v>
      </c>
      <c r="D233" s="127" t="s">
        <v>288</v>
      </c>
      <c r="E233" s="108" t="s">
        <v>283</v>
      </c>
      <c r="F233" s="108" t="s">
        <v>19</v>
      </c>
      <c r="G233" s="109">
        <v>45717</v>
      </c>
      <c r="H233" s="123">
        <v>45901</v>
      </c>
      <c r="I233" s="111">
        <v>60000</v>
      </c>
      <c r="J233" s="111">
        <v>0</v>
      </c>
      <c r="K233" s="111">
        <f t="shared" si="130"/>
        <v>60000</v>
      </c>
      <c r="L233" s="111">
        <f>IF(I233&gt;=Datos!$D$14,(Datos!$D$14*Datos!$C$14),IF(I233&lt;=Datos!$D$14,(I233*Datos!$C$14)))</f>
        <v>1722</v>
      </c>
      <c r="M233" s="112">
        <f>IF((I233-L233-N233)&lt;=Datos!$G$7,"0",IF((I233-L233-N233)&lt;=Datos!$G$8,((I233-L233-N233)-Datos!$F$8)*Datos!$I$6,IF((I233-L233-N233)&lt;=Datos!$G$9,Datos!$I$8+((I233-L233-N233)-Datos!$F$9)*Datos!$J$6,IF((I233-L233-N233)&gt;=Datos!$F$10,(Datos!$I$8+Datos!$J$8)+((I233-L233-N233)-Datos!$F$10)*Datos!$K$6))))</f>
        <v>3486.6756666666661</v>
      </c>
      <c r="N233" s="111">
        <f>IF(I233&gt;=Datos!$D$15,(Datos!$D$15*Datos!$C$15),IF(I233&lt;=Datos!$D$15,(I233*Datos!$C$15)))</f>
        <v>1824</v>
      </c>
      <c r="O233" s="111">
        <v>25</v>
      </c>
      <c r="P233" s="111">
        <f t="shared" si="131"/>
        <v>7057.6756666666661</v>
      </c>
      <c r="Q233" s="113">
        <f t="shared" si="132"/>
        <v>52942.324333333338</v>
      </c>
    </row>
    <row r="234" spans="1:17" s="7" customFormat="1" ht="38.25" customHeight="1" x14ac:dyDescent="0.2">
      <c r="A234" s="106">
        <v>136</v>
      </c>
      <c r="B234" s="122" t="s">
        <v>893</v>
      </c>
      <c r="C234" s="122" t="s">
        <v>332</v>
      </c>
      <c r="D234" s="127" t="s">
        <v>452</v>
      </c>
      <c r="E234" s="108" t="s">
        <v>283</v>
      </c>
      <c r="F234" s="108" t="s">
        <v>19</v>
      </c>
      <c r="G234" s="109">
        <v>45748</v>
      </c>
      <c r="H234" s="123">
        <v>45931</v>
      </c>
      <c r="I234" s="111">
        <v>35000</v>
      </c>
      <c r="J234" s="111">
        <v>0</v>
      </c>
      <c r="K234" s="111">
        <f t="shared" ref="K234" si="133">SUM(I234:J234)</f>
        <v>35000</v>
      </c>
      <c r="L234" s="111">
        <f>IF(I234&gt;=Datos!$D$14,(Datos!$D$14*Datos!$C$14),IF(I234&lt;=Datos!$D$14,(I234*Datos!$C$14)))</f>
        <v>1004.5</v>
      </c>
      <c r="M234" s="112" t="str">
        <f>IF((I234-L234-N234)&lt;=Datos!$G$7,"0",IF((I234-L234-N234)&lt;=Datos!$G$8,((I234-L234-N234)-Datos!$F$8)*Datos!$I$6,IF((I234-L234-N234)&lt;=Datos!$G$9,Datos!$I$8+((I234-L234-N234)-Datos!$F$9)*Datos!$J$6,IF((I234-L234-N234)&gt;=Datos!$F$10,(Datos!$I$8+Datos!$J$8)+((I234-L234-N234)-Datos!$F$10)*Datos!$K$6))))</f>
        <v>0</v>
      </c>
      <c r="N234" s="111">
        <f>IF(I234&gt;=Datos!$D$15,(Datos!$D$15*Datos!$C$15),IF(I234&lt;=Datos!$D$15,(I234*Datos!$C$15)))</f>
        <v>1064</v>
      </c>
      <c r="O234" s="111">
        <v>25</v>
      </c>
      <c r="P234" s="111">
        <f t="shared" ref="P234" si="134">SUM(L234:O234)</f>
        <v>2093.5</v>
      </c>
      <c r="Q234" s="113">
        <f t="shared" ref="Q234" si="135">+K234-P234</f>
        <v>32906.5</v>
      </c>
    </row>
    <row r="235" spans="1:17" s="85" customFormat="1" ht="36.75" customHeight="1" x14ac:dyDescent="0.2">
      <c r="A235" s="303" t="s">
        <v>455</v>
      </c>
      <c r="B235" s="305"/>
      <c r="C235" s="116">
        <v>7</v>
      </c>
      <c r="D235" s="307"/>
      <c r="E235" s="307"/>
      <c r="F235" s="307"/>
      <c r="G235" s="307"/>
      <c r="H235" s="308"/>
      <c r="I235" s="121">
        <f t="shared" ref="I235:Q235" si="136">SUM(I228:I234)</f>
        <v>345000</v>
      </c>
      <c r="J235" s="121">
        <f t="shared" si="136"/>
        <v>0</v>
      </c>
      <c r="K235" s="121">
        <f t="shared" si="136"/>
        <v>345000</v>
      </c>
      <c r="L235" s="121">
        <f t="shared" si="136"/>
        <v>9901.5</v>
      </c>
      <c r="M235" s="121">
        <f t="shared" si="136"/>
        <v>12917.421333333332</v>
      </c>
      <c r="N235" s="121">
        <f t="shared" si="136"/>
        <v>10488</v>
      </c>
      <c r="O235" s="121">
        <f t="shared" si="136"/>
        <v>5321.38</v>
      </c>
      <c r="P235" s="121">
        <f t="shared" si="136"/>
        <v>38628.301333333337</v>
      </c>
      <c r="Q235" s="121">
        <f t="shared" si="136"/>
        <v>306371.69866666663</v>
      </c>
    </row>
    <row r="236" spans="1:17" s="7" customFormat="1" ht="36.75" customHeight="1" x14ac:dyDescent="0.2">
      <c r="A236" s="303" t="s">
        <v>1013</v>
      </c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6"/>
    </row>
    <row r="237" spans="1:17" s="7" customFormat="1" ht="38.25" customHeight="1" x14ac:dyDescent="0.2">
      <c r="A237" s="106">
        <v>137</v>
      </c>
      <c r="B237" s="122" t="s">
        <v>1071</v>
      </c>
      <c r="C237" s="122" t="s">
        <v>412</v>
      </c>
      <c r="D237" s="127" t="s">
        <v>1014</v>
      </c>
      <c r="E237" s="108" t="s">
        <v>283</v>
      </c>
      <c r="F237" s="108" t="s">
        <v>19</v>
      </c>
      <c r="G237" s="109">
        <v>45839</v>
      </c>
      <c r="H237" s="123">
        <v>46023</v>
      </c>
      <c r="I237" s="111">
        <v>120000</v>
      </c>
      <c r="J237" s="111">
        <v>0</v>
      </c>
      <c r="K237" s="111">
        <f>SUM(I237:J237)</f>
        <v>120000</v>
      </c>
      <c r="L237" s="111">
        <f>IF(I237&gt;=Datos!$D$14,(Datos!$D$14*Datos!$C$14),IF(I237&lt;=Datos!$D$14,(I237*Datos!$C$14)))</f>
        <v>3444</v>
      </c>
      <c r="M237" s="112">
        <f>IF((I237-L237-N237)&lt;=Datos!$G$7,"0",IF((I237-L237-N237)&lt;=Datos!$G$8,((I237-L237-N237)-Datos!$F$8)*Datos!$I$6,IF((I237-L237-N237)&lt;=Datos!$G$9,Datos!$I$8+((I237-L237-N237)-Datos!$F$9)*Datos!$J$6,IF((I237-L237-N237)&gt;=Datos!$F$10,(Datos!$I$8+Datos!$J$8)+((I237-L237-N237)-Datos!$F$10)*Datos!$K$6))))</f>
        <v>16809.860666666667</v>
      </c>
      <c r="N237" s="111">
        <f>IF(I237&gt;=Datos!$D$15,(Datos!$D$15*Datos!$C$15),IF(I237&lt;=Datos!$D$15,(I237*Datos!$C$15)))</f>
        <v>3648</v>
      </c>
      <c r="O237" s="111">
        <v>25</v>
      </c>
      <c r="P237" s="111">
        <f>SUM(L237:O237)</f>
        <v>23926.860666666667</v>
      </c>
      <c r="Q237" s="113">
        <f>+K237-P237</f>
        <v>96073.139333333325</v>
      </c>
    </row>
    <row r="238" spans="1:17" s="85" customFormat="1" ht="36.75" customHeight="1" x14ac:dyDescent="0.2">
      <c r="A238" s="303" t="s">
        <v>455</v>
      </c>
      <c r="B238" s="305"/>
      <c r="C238" s="116">
        <v>1</v>
      </c>
      <c r="D238" s="307"/>
      <c r="E238" s="307"/>
      <c r="F238" s="307"/>
      <c r="G238" s="307"/>
      <c r="H238" s="308"/>
      <c r="I238" s="121">
        <f>SUM(I237)</f>
        <v>120000</v>
      </c>
      <c r="J238" s="121">
        <f t="shared" ref="J238:Q238" si="137">SUM(J237)</f>
        <v>0</v>
      </c>
      <c r="K238" s="121">
        <f t="shared" si="137"/>
        <v>120000</v>
      </c>
      <c r="L238" s="121">
        <f t="shared" si="137"/>
        <v>3444</v>
      </c>
      <c r="M238" s="121">
        <f t="shared" si="137"/>
        <v>16809.860666666667</v>
      </c>
      <c r="N238" s="121">
        <f t="shared" si="137"/>
        <v>3648</v>
      </c>
      <c r="O238" s="121">
        <f t="shared" si="137"/>
        <v>25</v>
      </c>
      <c r="P238" s="121">
        <f t="shared" si="137"/>
        <v>23926.860666666667</v>
      </c>
      <c r="Q238" s="121">
        <f t="shared" si="137"/>
        <v>96073.139333333325</v>
      </c>
    </row>
    <row r="239" spans="1:17" s="7" customFormat="1" ht="36.75" customHeight="1" x14ac:dyDescent="0.2">
      <c r="A239" s="303" t="s">
        <v>707</v>
      </c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6"/>
    </row>
    <row r="240" spans="1:17" s="7" customFormat="1" ht="38.25" customHeight="1" x14ac:dyDescent="0.2">
      <c r="A240" s="106">
        <v>138</v>
      </c>
      <c r="B240" s="122" t="s">
        <v>740</v>
      </c>
      <c r="C240" s="122" t="s">
        <v>412</v>
      </c>
      <c r="D240" s="127" t="s">
        <v>708</v>
      </c>
      <c r="E240" s="108" t="s">
        <v>283</v>
      </c>
      <c r="F240" s="108" t="s">
        <v>19</v>
      </c>
      <c r="G240" s="109">
        <v>45778</v>
      </c>
      <c r="H240" s="123">
        <v>45962</v>
      </c>
      <c r="I240" s="111">
        <v>135000</v>
      </c>
      <c r="J240" s="111">
        <v>0</v>
      </c>
      <c r="K240" s="111">
        <f>SUM(I240:J240)</f>
        <v>135000</v>
      </c>
      <c r="L240" s="111">
        <f>IF(I240&gt;=Datos!$D$14,(Datos!$D$14*Datos!$C$14),IF(I240&lt;=Datos!$D$14,(I240*Datos!$C$14)))</f>
        <v>3874.5</v>
      </c>
      <c r="M240" s="112">
        <f>IF((I240-L240-N240)&lt;=Datos!$G$7,"0",IF((I240-L240-N240)&lt;=Datos!$G$8,((I240-L240-N240)-Datos!$F$8)*Datos!$I$6,IF((I240-L240-N240)&lt;=Datos!$G$9,Datos!$I$8+((I240-L240-N240)-Datos!$F$9)*Datos!$J$6,IF((I240-L240-N240)&gt;=Datos!$F$10,(Datos!$I$8+Datos!$J$8)+((I240-L240-N240)-Datos!$F$10)*Datos!$K$6))))</f>
        <v>20338.235666666667</v>
      </c>
      <c r="N240" s="111">
        <f>IF(I240&gt;=Datos!$D$15,(Datos!$D$15*Datos!$C$15),IF(I240&lt;=Datos!$D$15,(I240*Datos!$C$15)))</f>
        <v>4104</v>
      </c>
      <c r="O240" s="111">
        <v>25</v>
      </c>
      <c r="P240" s="111">
        <f>SUM(L240:O240)</f>
        <v>28341.735666666667</v>
      </c>
      <c r="Q240" s="113">
        <f>+K240-P240</f>
        <v>106658.26433333333</v>
      </c>
    </row>
    <row r="241" spans="1:17" s="85" customFormat="1" ht="36.75" customHeight="1" x14ac:dyDescent="0.2">
      <c r="A241" s="303" t="s">
        <v>455</v>
      </c>
      <c r="B241" s="305"/>
      <c r="C241" s="116">
        <v>1</v>
      </c>
      <c r="D241" s="307"/>
      <c r="E241" s="307"/>
      <c r="F241" s="307"/>
      <c r="G241" s="307"/>
      <c r="H241" s="308"/>
      <c r="I241" s="121">
        <f>SUM(I240)</f>
        <v>135000</v>
      </c>
      <c r="J241" s="121">
        <f t="shared" ref="J241:Q241" si="138">SUM(J240)</f>
        <v>0</v>
      </c>
      <c r="K241" s="121">
        <f t="shared" si="138"/>
        <v>135000</v>
      </c>
      <c r="L241" s="121">
        <f t="shared" si="138"/>
        <v>3874.5</v>
      </c>
      <c r="M241" s="121">
        <f t="shared" si="138"/>
        <v>20338.235666666667</v>
      </c>
      <c r="N241" s="121">
        <f t="shared" si="138"/>
        <v>4104</v>
      </c>
      <c r="O241" s="121">
        <f t="shared" si="138"/>
        <v>25</v>
      </c>
      <c r="P241" s="121">
        <f t="shared" si="138"/>
        <v>28341.735666666667</v>
      </c>
      <c r="Q241" s="121">
        <f t="shared" si="138"/>
        <v>106658.26433333333</v>
      </c>
    </row>
    <row r="242" spans="1:17" s="7" customFormat="1" ht="36.75" customHeight="1" x14ac:dyDescent="0.2">
      <c r="A242" s="303" t="s">
        <v>483</v>
      </c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6"/>
    </row>
    <row r="243" spans="1:17" s="7" customFormat="1" ht="38.25" customHeight="1" x14ac:dyDescent="0.2">
      <c r="A243" s="106">
        <v>139</v>
      </c>
      <c r="B243" s="122" t="s">
        <v>649</v>
      </c>
      <c r="C243" s="122" t="s">
        <v>284</v>
      </c>
      <c r="D243" s="127" t="s">
        <v>710</v>
      </c>
      <c r="E243" s="108" t="s">
        <v>283</v>
      </c>
      <c r="F243" s="108" t="s">
        <v>19</v>
      </c>
      <c r="G243" s="109">
        <v>45717</v>
      </c>
      <c r="H243" s="123">
        <v>45901</v>
      </c>
      <c r="I243" s="111">
        <v>72600</v>
      </c>
      <c r="J243" s="111">
        <v>0</v>
      </c>
      <c r="K243" s="111">
        <f t="shared" ref="K243:K260" si="139">SUM(I243:J243)</f>
        <v>72600</v>
      </c>
      <c r="L243" s="111">
        <f>IF(I243&gt;=Datos!$D$14,(Datos!$D$14*Datos!$C$14),IF(I243&lt;=Datos!$D$14,(I243*Datos!$C$14)))</f>
        <v>2083.62</v>
      </c>
      <c r="M243" s="112">
        <f>IF((I243-L243-N243)&lt;=Datos!$G$7,"0",IF((I243-L243-N243)&lt;=Datos!$G$8,((I243-L243-N243)-Datos!$F$8)*Datos!$I$6,IF((I243-L243-N243)&lt;=Datos!$G$9,Datos!$I$8+((I243-L243-N243)-Datos!$F$9)*Datos!$J$6,IF((I243-L243-N243)&gt;=Datos!$F$10,(Datos!$I$8+Datos!$J$8)+((I243-L243-N243)-Datos!$F$10)*Datos!$K$6))))</f>
        <v>5857.743666666669</v>
      </c>
      <c r="N243" s="111">
        <f>IF(I243&gt;=Datos!$D$15,(Datos!$D$15*Datos!$C$15),IF(I243&lt;=Datos!$D$15,(I243*Datos!$C$15)))</f>
        <v>2207.04</v>
      </c>
      <c r="O243" s="111">
        <v>25</v>
      </c>
      <c r="P243" s="111">
        <f>SUM(L243:O243)</f>
        <v>10173.403666666669</v>
      </c>
      <c r="Q243" s="113">
        <f>+K243-P243</f>
        <v>62426.596333333335</v>
      </c>
    </row>
    <row r="244" spans="1:17" s="7" customFormat="1" ht="38.25" customHeight="1" x14ac:dyDescent="0.2">
      <c r="A244" s="106">
        <v>140</v>
      </c>
      <c r="B244" s="122" t="s">
        <v>709</v>
      </c>
      <c r="C244" s="122" t="s">
        <v>284</v>
      </c>
      <c r="D244" s="127" t="s">
        <v>288</v>
      </c>
      <c r="E244" s="108" t="s">
        <v>283</v>
      </c>
      <c r="F244" s="108" t="s">
        <v>19</v>
      </c>
      <c r="G244" s="109">
        <v>45778</v>
      </c>
      <c r="H244" s="123">
        <v>45962</v>
      </c>
      <c r="I244" s="111">
        <v>72600</v>
      </c>
      <c r="J244" s="111">
        <v>0</v>
      </c>
      <c r="K244" s="111">
        <f t="shared" ref="K244" si="140">SUM(I244:J244)</f>
        <v>72600</v>
      </c>
      <c r="L244" s="111">
        <f>IF(I244&gt;=Datos!$D$14,(Datos!$D$14*Datos!$C$14),IF(I244&lt;=Datos!$D$14,(I244*Datos!$C$14)))</f>
        <v>2083.62</v>
      </c>
      <c r="M244" s="112">
        <f>IF((I244-L244-N244)&lt;=Datos!$G$7,"0",IF((I244-L244-N244)&lt;=Datos!$G$8,((I244-L244-N244)-Datos!$F$8)*Datos!$I$6,IF((I244-L244-N244)&lt;=Datos!$G$9,Datos!$I$8+((I244-L244-N244)-Datos!$F$9)*Datos!$J$6,IF((I244-L244-N244)&gt;=Datos!$F$10,(Datos!$I$8+Datos!$J$8)+((I244-L244-N244)-Datos!$F$10)*Datos!$K$6))))</f>
        <v>5857.743666666669</v>
      </c>
      <c r="N244" s="111">
        <f>IF(I244&gt;=Datos!$D$15,(Datos!$D$15*Datos!$C$15),IF(I244&lt;=Datos!$D$15,(I244*Datos!$C$15)))</f>
        <v>2207.04</v>
      </c>
      <c r="O244" s="111">
        <v>25</v>
      </c>
      <c r="P244" s="111">
        <f t="shared" ref="P244:P245" si="141">SUM(L244:O244)</f>
        <v>10173.403666666669</v>
      </c>
      <c r="Q244" s="113">
        <f t="shared" ref="Q244:Q245" si="142">+K244-P244</f>
        <v>62426.596333333335</v>
      </c>
    </row>
    <row r="245" spans="1:17" s="7" customFormat="1" ht="38.25" customHeight="1" x14ac:dyDescent="0.2">
      <c r="A245" s="106">
        <v>141</v>
      </c>
      <c r="B245" s="122" t="s">
        <v>743</v>
      </c>
      <c r="C245" s="122" t="s">
        <v>284</v>
      </c>
      <c r="D245" s="127" t="s">
        <v>622</v>
      </c>
      <c r="E245" s="108" t="s">
        <v>283</v>
      </c>
      <c r="F245" s="108" t="s">
        <v>19</v>
      </c>
      <c r="G245" s="109">
        <v>45809</v>
      </c>
      <c r="H245" s="123">
        <v>45992</v>
      </c>
      <c r="I245" s="111">
        <v>72600</v>
      </c>
      <c r="J245" s="111">
        <v>0</v>
      </c>
      <c r="K245" s="111">
        <f t="shared" ref="K245" si="143">SUM(I245:J245)</f>
        <v>72600</v>
      </c>
      <c r="L245" s="111">
        <f>IF(I245&gt;=Datos!$D$14,(Datos!$D$14*Datos!$C$14),IF(I245&lt;=Datos!$D$14,(I245*Datos!$C$14)))</f>
        <v>2083.62</v>
      </c>
      <c r="M245" s="112">
        <f>IF((I245-L245-N245)&lt;=Datos!$G$7,"0",IF((I245-L245-N245)&lt;=Datos!$G$8,((I245-L245-N245)-Datos!$F$8)*Datos!$I$6,IF((I245-L245-N245)&lt;=Datos!$G$9,Datos!$I$8+((I245-L245-N245)-Datos!$F$9)*Datos!$J$6,IF((I245-L245-N245)&gt;=Datos!$F$10,(Datos!$I$8+Datos!$J$8)+((I245-L245-N245)-Datos!$F$10)*Datos!$K$6))))</f>
        <v>5857.743666666669</v>
      </c>
      <c r="N245" s="111">
        <f>IF(I245&gt;=Datos!$D$15,(Datos!$D$15*Datos!$C$15),IF(I245&lt;=Datos!$D$15,(I245*Datos!$C$15)))</f>
        <v>2207.04</v>
      </c>
      <c r="O245" s="111">
        <v>25</v>
      </c>
      <c r="P245" s="111">
        <f t="shared" si="141"/>
        <v>10173.403666666669</v>
      </c>
      <c r="Q245" s="113">
        <f t="shared" si="142"/>
        <v>62426.596333333335</v>
      </c>
    </row>
    <row r="246" spans="1:17" s="7" customFormat="1" ht="38.25" customHeight="1" x14ac:dyDescent="0.2">
      <c r="A246" s="106">
        <v>142</v>
      </c>
      <c r="B246" s="122" t="s">
        <v>894</v>
      </c>
      <c r="C246" s="122" t="s">
        <v>284</v>
      </c>
      <c r="D246" s="127" t="s">
        <v>870</v>
      </c>
      <c r="E246" s="108" t="s">
        <v>283</v>
      </c>
      <c r="F246" s="108" t="s">
        <v>19</v>
      </c>
      <c r="G246" s="109">
        <v>45748</v>
      </c>
      <c r="H246" s="123">
        <v>45931</v>
      </c>
      <c r="I246" s="111">
        <v>60000</v>
      </c>
      <c r="J246" s="111">
        <v>0</v>
      </c>
      <c r="K246" s="111">
        <f t="shared" ref="K246:K259" si="144">SUM(I246:J246)</f>
        <v>60000</v>
      </c>
      <c r="L246" s="111">
        <f>IF(I246&gt;=Datos!$D$14,(Datos!$D$14*Datos!$C$14),IF(I246&lt;=Datos!$D$14,(I246*Datos!$C$14)))</f>
        <v>1722</v>
      </c>
      <c r="M246" s="112">
        <f>IF((I246-L246-N246)&lt;=Datos!$G$7,"0",IF((I246-L246-N246)&lt;=Datos!$G$8,((I246-L246-N246)-Datos!$F$8)*Datos!$I$6,IF((I246-L246-N246)&lt;=Datos!$G$9,Datos!$I$8+((I246-L246-N246)-Datos!$F$9)*Datos!$J$6,IF((I246-L246-N246)&gt;=Datos!$F$10,(Datos!$I$8+Datos!$J$8)+((I246-L246-N246)-Datos!$F$10)*Datos!$K$6))))</f>
        <v>3486.6756666666661</v>
      </c>
      <c r="N246" s="111">
        <f>IF(I246&gt;=Datos!$D$15,(Datos!$D$15*Datos!$C$15),IF(I246&lt;=Datos!$D$15,(I246*Datos!$C$15)))</f>
        <v>1824</v>
      </c>
      <c r="O246" s="111">
        <v>25</v>
      </c>
      <c r="P246" s="111">
        <f t="shared" ref="P246:P259" si="145">SUM(L246:O246)</f>
        <v>7057.6756666666661</v>
      </c>
      <c r="Q246" s="113">
        <f t="shared" ref="Q246:Q259" si="146">+K246-P246</f>
        <v>52942.324333333338</v>
      </c>
    </row>
    <row r="247" spans="1:17" s="7" customFormat="1" ht="38.25" customHeight="1" x14ac:dyDescent="0.2">
      <c r="A247" s="106">
        <v>143</v>
      </c>
      <c r="B247" s="122" t="s">
        <v>895</v>
      </c>
      <c r="C247" s="122" t="s">
        <v>284</v>
      </c>
      <c r="D247" s="127" t="s">
        <v>710</v>
      </c>
      <c r="E247" s="108" t="s">
        <v>283</v>
      </c>
      <c r="F247" s="108" t="s">
        <v>19</v>
      </c>
      <c r="G247" s="109">
        <v>45748</v>
      </c>
      <c r="H247" s="123">
        <v>45931</v>
      </c>
      <c r="I247" s="111">
        <v>60000</v>
      </c>
      <c r="J247" s="111">
        <v>0</v>
      </c>
      <c r="K247" s="111">
        <f t="shared" si="144"/>
        <v>60000</v>
      </c>
      <c r="L247" s="111">
        <f>IF(I247&gt;=Datos!$D$14,(Datos!$D$14*Datos!$C$14),IF(I247&lt;=Datos!$D$14,(I247*Datos!$C$14)))</f>
        <v>1722</v>
      </c>
      <c r="M247" s="112">
        <f>IF((I247-L247-N247)&lt;=Datos!$G$7,"0",IF((I247-L247-N247)&lt;=Datos!$G$8,((I247-L247-N247)-Datos!$F$8)*Datos!$I$6,IF((I247-L247-N247)&lt;=Datos!$G$9,Datos!$I$8+((I247-L247-N247)-Datos!$F$9)*Datos!$J$6,IF((I247-L247-N247)&gt;=Datos!$F$10,(Datos!$I$8+Datos!$J$8)+((I247-L247-N247)-Datos!$F$10)*Datos!$K$6))))</f>
        <v>3486.6756666666661</v>
      </c>
      <c r="N247" s="111">
        <f>IF(I247&gt;=Datos!$D$15,(Datos!$D$15*Datos!$C$15),IF(I247&lt;=Datos!$D$15,(I247*Datos!$C$15)))</f>
        <v>1824</v>
      </c>
      <c r="O247" s="111">
        <v>25</v>
      </c>
      <c r="P247" s="111">
        <f t="shared" si="145"/>
        <v>7057.6756666666661</v>
      </c>
      <c r="Q247" s="113">
        <f t="shared" si="146"/>
        <v>52942.324333333338</v>
      </c>
    </row>
    <row r="248" spans="1:17" s="7" customFormat="1" ht="38.25" customHeight="1" x14ac:dyDescent="0.2">
      <c r="A248" s="106">
        <v>144</v>
      </c>
      <c r="B248" s="122" t="s">
        <v>896</v>
      </c>
      <c r="C248" s="122" t="s">
        <v>284</v>
      </c>
      <c r="D248" s="127" t="s">
        <v>452</v>
      </c>
      <c r="E248" s="108" t="s">
        <v>283</v>
      </c>
      <c r="F248" s="108" t="s">
        <v>19</v>
      </c>
      <c r="G248" s="109">
        <v>45748</v>
      </c>
      <c r="H248" s="123">
        <v>45931</v>
      </c>
      <c r="I248" s="111">
        <v>35000</v>
      </c>
      <c r="J248" s="111">
        <v>0</v>
      </c>
      <c r="K248" s="111">
        <f t="shared" si="144"/>
        <v>35000</v>
      </c>
      <c r="L248" s="111">
        <f>IF(I248&gt;=Datos!$D$14,(Datos!$D$14*Datos!$C$14),IF(I248&lt;=Datos!$D$14,(I248*Datos!$C$14)))</f>
        <v>1004.5</v>
      </c>
      <c r="M248" s="112" t="str">
        <f>IF((I248-L248-N248)&lt;=Datos!$G$7,"0",IF((I248-L248-N248)&lt;=Datos!$G$8,((I248-L248-N248)-Datos!$F$8)*Datos!$I$6,IF((I248-L248-N248)&lt;=Datos!$G$9,Datos!$I$8+((I248-L248-N248)-Datos!$F$9)*Datos!$J$6,IF((I248-L248-N248)&gt;=Datos!$F$10,(Datos!$I$8+Datos!$J$8)+((I248-L248-N248)-Datos!$F$10)*Datos!$K$6))))</f>
        <v>0</v>
      </c>
      <c r="N248" s="111">
        <f>IF(I248&gt;=Datos!$D$15,(Datos!$D$15*Datos!$C$15),IF(I248&lt;=Datos!$D$15,(I248*Datos!$C$15)))</f>
        <v>1064</v>
      </c>
      <c r="O248" s="111">
        <v>25</v>
      </c>
      <c r="P248" s="111">
        <f t="shared" si="145"/>
        <v>2093.5</v>
      </c>
      <c r="Q248" s="113">
        <f t="shared" si="146"/>
        <v>32906.5</v>
      </c>
    </row>
    <row r="249" spans="1:17" s="7" customFormat="1" ht="38.25" customHeight="1" x14ac:dyDescent="0.2">
      <c r="A249" s="106">
        <v>145</v>
      </c>
      <c r="B249" s="122" t="s">
        <v>897</v>
      </c>
      <c r="C249" s="122" t="s">
        <v>284</v>
      </c>
      <c r="D249" s="127" t="s">
        <v>452</v>
      </c>
      <c r="E249" s="108" t="s">
        <v>283</v>
      </c>
      <c r="F249" s="108" t="s">
        <v>19</v>
      </c>
      <c r="G249" s="109">
        <v>45748</v>
      </c>
      <c r="H249" s="123">
        <v>45931</v>
      </c>
      <c r="I249" s="111">
        <v>35000</v>
      </c>
      <c r="J249" s="111">
        <v>0</v>
      </c>
      <c r="K249" s="111">
        <f t="shared" si="144"/>
        <v>35000</v>
      </c>
      <c r="L249" s="111">
        <f>IF(I249&gt;=Datos!$D$14,(Datos!$D$14*Datos!$C$14),IF(I249&lt;=Datos!$D$14,(I249*Datos!$C$14)))</f>
        <v>1004.5</v>
      </c>
      <c r="M249" s="112" t="str">
        <f>IF((I249-L249-N249)&lt;=Datos!$G$7,"0",IF((I249-L249-N249)&lt;=Datos!$G$8,((I249-L249-N249)-Datos!$F$8)*Datos!$I$6,IF((I249-L249-N249)&lt;=Datos!$G$9,Datos!$I$8+((I249-L249-N249)-Datos!$F$9)*Datos!$J$6,IF((I249-L249-N249)&gt;=Datos!$F$10,(Datos!$I$8+Datos!$J$8)+((I249-L249-N249)-Datos!$F$10)*Datos!$K$6))))</f>
        <v>0</v>
      </c>
      <c r="N249" s="111">
        <f>IF(I249&gt;=Datos!$D$15,(Datos!$D$15*Datos!$C$15),IF(I249&lt;=Datos!$D$15,(I249*Datos!$C$15)))</f>
        <v>1064</v>
      </c>
      <c r="O249" s="111">
        <v>25</v>
      </c>
      <c r="P249" s="111">
        <f t="shared" si="145"/>
        <v>2093.5</v>
      </c>
      <c r="Q249" s="113">
        <f t="shared" si="146"/>
        <v>32906.5</v>
      </c>
    </row>
    <row r="250" spans="1:17" s="7" customFormat="1" ht="38.25" customHeight="1" x14ac:dyDescent="0.2">
      <c r="A250" s="106">
        <v>146</v>
      </c>
      <c r="B250" s="122" t="s">
        <v>898</v>
      </c>
      <c r="C250" s="122" t="s">
        <v>284</v>
      </c>
      <c r="D250" s="127" t="s">
        <v>452</v>
      </c>
      <c r="E250" s="108" t="s">
        <v>283</v>
      </c>
      <c r="F250" s="108" t="s">
        <v>19</v>
      </c>
      <c r="G250" s="109">
        <v>45748</v>
      </c>
      <c r="H250" s="123">
        <v>45931</v>
      </c>
      <c r="I250" s="111">
        <v>35000</v>
      </c>
      <c r="J250" s="111">
        <v>0</v>
      </c>
      <c r="K250" s="111">
        <f t="shared" si="144"/>
        <v>35000</v>
      </c>
      <c r="L250" s="111">
        <f>IF(I250&gt;=Datos!$D$14,(Datos!$D$14*Datos!$C$14),IF(I250&lt;=Datos!$D$14,(I250*Datos!$C$14)))</f>
        <v>1004.5</v>
      </c>
      <c r="M250" s="112" t="str">
        <f>IF((I250-L250-N250)&lt;=Datos!$G$7,"0",IF((I250-L250-N250)&lt;=Datos!$G$8,((I250-L250-N250)-Datos!$F$8)*Datos!$I$6,IF((I250-L250-N250)&lt;=Datos!$G$9,Datos!$I$8+((I250-L250-N250)-Datos!$F$9)*Datos!$J$6,IF((I250-L250-N250)&gt;=Datos!$F$10,(Datos!$I$8+Datos!$J$8)+((I250-L250-N250)-Datos!$F$10)*Datos!$K$6))))</f>
        <v>0</v>
      </c>
      <c r="N250" s="111">
        <f>IF(I250&gt;=Datos!$D$15,(Datos!$D$15*Datos!$C$15),IF(I250&lt;=Datos!$D$15,(I250*Datos!$C$15)))</f>
        <v>1064</v>
      </c>
      <c r="O250" s="111">
        <v>25</v>
      </c>
      <c r="P250" s="111">
        <f t="shared" si="145"/>
        <v>2093.5</v>
      </c>
      <c r="Q250" s="113">
        <f t="shared" si="146"/>
        <v>32906.5</v>
      </c>
    </row>
    <row r="251" spans="1:17" s="7" customFormat="1" ht="38.25" customHeight="1" x14ac:dyDescent="0.2">
      <c r="A251" s="106">
        <v>147</v>
      </c>
      <c r="B251" s="122" t="s">
        <v>899</v>
      </c>
      <c r="C251" s="122" t="s">
        <v>284</v>
      </c>
      <c r="D251" s="127" t="s">
        <v>452</v>
      </c>
      <c r="E251" s="108" t="s">
        <v>283</v>
      </c>
      <c r="F251" s="108" t="s">
        <v>19</v>
      </c>
      <c r="G251" s="109">
        <v>45748</v>
      </c>
      <c r="H251" s="123">
        <v>45931</v>
      </c>
      <c r="I251" s="111">
        <v>35000</v>
      </c>
      <c r="J251" s="111">
        <v>0</v>
      </c>
      <c r="K251" s="111">
        <f t="shared" si="144"/>
        <v>35000</v>
      </c>
      <c r="L251" s="111">
        <f>IF(I251&gt;=Datos!$D$14,(Datos!$D$14*Datos!$C$14),IF(I251&lt;=Datos!$D$14,(I251*Datos!$C$14)))</f>
        <v>1004.5</v>
      </c>
      <c r="M251" s="112" t="str">
        <f>IF((I251-L251-N251)&lt;=Datos!$G$7,"0",IF((I251-L251-N251)&lt;=Datos!$G$8,((I251-L251-N251)-Datos!$F$8)*Datos!$I$6,IF((I251-L251-N251)&lt;=Datos!$G$9,Datos!$I$8+((I251-L251-N251)-Datos!$F$9)*Datos!$J$6,IF((I251-L251-N251)&gt;=Datos!$F$10,(Datos!$I$8+Datos!$J$8)+((I251-L251-N251)-Datos!$F$10)*Datos!$K$6))))</f>
        <v>0</v>
      </c>
      <c r="N251" s="111">
        <f>IF(I251&gt;=Datos!$D$15,(Datos!$D$15*Datos!$C$15),IF(I251&lt;=Datos!$D$15,(I251*Datos!$C$15)))</f>
        <v>1064</v>
      </c>
      <c r="O251" s="111">
        <v>25</v>
      </c>
      <c r="P251" s="111">
        <f t="shared" si="145"/>
        <v>2093.5</v>
      </c>
      <c r="Q251" s="113">
        <f t="shared" si="146"/>
        <v>32906.5</v>
      </c>
    </row>
    <row r="252" spans="1:17" s="7" customFormat="1" ht="38.25" customHeight="1" x14ac:dyDescent="0.2">
      <c r="A252" s="106">
        <v>148</v>
      </c>
      <c r="B252" s="122" t="s">
        <v>900</v>
      </c>
      <c r="C252" s="122" t="s">
        <v>284</v>
      </c>
      <c r="D252" s="127" t="s">
        <v>288</v>
      </c>
      <c r="E252" s="108" t="s">
        <v>283</v>
      </c>
      <c r="F252" s="108" t="s">
        <v>19</v>
      </c>
      <c r="G252" s="109">
        <v>45748</v>
      </c>
      <c r="H252" s="123">
        <v>45931</v>
      </c>
      <c r="I252" s="111">
        <v>60000</v>
      </c>
      <c r="J252" s="111">
        <v>0</v>
      </c>
      <c r="K252" s="111">
        <f t="shared" si="144"/>
        <v>60000</v>
      </c>
      <c r="L252" s="111">
        <f>IF(I252&gt;=Datos!$D$14,(Datos!$D$14*Datos!$C$14),IF(I252&lt;=Datos!$D$14,(I252*Datos!$C$14)))</f>
        <v>1722</v>
      </c>
      <c r="M252" s="112">
        <f>IF((I252-L252-N252)&lt;=Datos!$G$7,"0",IF((I252-L252-N252)&lt;=Datos!$G$8,((I252-L252-N252)-Datos!$F$8)*Datos!$I$6,IF((I252-L252-N252)&lt;=Datos!$G$9,Datos!$I$8+((I252-L252-N252)-Datos!$F$9)*Datos!$J$6,IF((I252-L252-N252)&gt;=Datos!$F$10,(Datos!$I$8+Datos!$J$8)+((I252-L252-N252)-Datos!$F$10)*Datos!$K$6))))</f>
        <v>3486.6756666666661</v>
      </c>
      <c r="N252" s="111">
        <f>IF(I252&gt;=Datos!$D$15,(Datos!$D$15*Datos!$C$15),IF(I252&lt;=Datos!$D$15,(I252*Datos!$C$15)))</f>
        <v>1824</v>
      </c>
      <c r="O252" s="111">
        <v>25</v>
      </c>
      <c r="P252" s="111">
        <f t="shared" si="145"/>
        <v>7057.6756666666661</v>
      </c>
      <c r="Q252" s="113">
        <f t="shared" si="146"/>
        <v>52942.324333333338</v>
      </c>
    </row>
    <row r="253" spans="1:17" s="7" customFormat="1" ht="38.25" customHeight="1" x14ac:dyDescent="0.2">
      <c r="A253" s="106">
        <v>149</v>
      </c>
      <c r="B253" s="122" t="s">
        <v>901</v>
      </c>
      <c r="C253" s="122" t="s">
        <v>284</v>
      </c>
      <c r="D253" s="127" t="s">
        <v>288</v>
      </c>
      <c r="E253" s="108" t="s">
        <v>283</v>
      </c>
      <c r="F253" s="108" t="s">
        <v>19</v>
      </c>
      <c r="G253" s="109">
        <v>45748</v>
      </c>
      <c r="H253" s="123">
        <v>45931</v>
      </c>
      <c r="I253" s="111">
        <v>60000</v>
      </c>
      <c r="J253" s="111">
        <v>0</v>
      </c>
      <c r="K253" s="111">
        <f t="shared" si="144"/>
        <v>60000</v>
      </c>
      <c r="L253" s="111">
        <f>IF(I253&gt;=Datos!$D$14,(Datos!$D$14*Datos!$C$14),IF(I253&lt;=Datos!$D$14,(I253*Datos!$C$14)))</f>
        <v>1722</v>
      </c>
      <c r="M253" s="112">
        <f>IF((I253-L253-N253)&lt;=Datos!$G$7,"0",IF((I253-L253-N253)&lt;=Datos!$G$8,((I253-L253-N253)-Datos!$F$8)*Datos!$I$6,IF((I253-L253-N253)&lt;=Datos!$G$9,Datos!$I$8+((I253-L253-N253)-Datos!$F$9)*Datos!$J$6,IF((I253-L253-N253)&gt;=Datos!$F$10,(Datos!$I$8+Datos!$J$8)+((I253-L253-N253)-Datos!$F$10)*Datos!$K$6))))</f>
        <v>3486.6756666666661</v>
      </c>
      <c r="N253" s="111">
        <f>IF(I253&gt;=Datos!$D$15,(Datos!$D$15*Datos!$C$15),IF(I253&lt;=Datos!$D$15,(I253*Datos!$C$15)))</f>
        <v>1824</v>
      </c>
      <c r="O253" s="111">
        <v>25</v>
      </c>
      <c r="P253" s="111">
        <f t="shared" si="145"/>
        <v>7057.6756666666661</v>
      </c>
      <c r="Q253" s="113">
        <f t="shared" si="146"/>
        <v>52942.324333333338</v>
      </c>
    </row>
    <row r="254" spans="1:17" s="7" customFormat="1" ht="38.25" customHeight="1" x14ac:dyDescent="0.2">
      <c r="A254" s="106">
        <v>150</v>
      </c>
      <c r="B254" s="122" t="s">
        <v>902</v>
      </c>
      <c r="C254" s="122" t="s">
        <v>284</v>
      </c>
      <c r="D254" s="127" t="s">
        <v>710</v>
      </c>
      <c r="E254" s="108" t="s">
        <v>283</v>
      </c>
      <c r="F254" s="108" t="s">
        <v>19</v>
      </c>
      <c r="G254" s="109">
        <v>45748</v>
      </c>
      <c r="H254" s="123">
        <v>45931</v>
      </c>
      <c r="I254" s="111">
        <v>60000</v>
      </c>
      <c r="J254" s="111">
        <v>0</v>
      </c>
      <c r="K254" s="111">
        <f t="shared" si="144"/>
        <v>60000</v>
      </c>
      <c r="L254" s="111">
        <f>IF(I254&gt;=Datos!$D$14,(Datos!$D$14*Datos!$C$14),IF(I254&lt;=Datos!$D$14,(I254*Datos!$C$14)))</f>
        <v>1722</v>
      </c>
      <c r="M254" s="112">
        <f>IF((I254-L254-N254)&lt;=Datos!$G$7,"0",IF((I254-L254-N254)&lt;=Datos!$G$8,((I254-L254-N254)-Datos!$F$8)*Datos!$I$6,IF((I254-L254-N254)&lt;=Datos!$G$9,Datos!$I$8+((I254-L254-N254)-Datos!$F$9)*Datos!$J$6,IF((I254-L254-N254)&gt;=Datos!$F$10,(Datos!$I$8+Datos!$J$8)+((I254-L254-N254)-Datos!$F$10)*Datos!$K$6))))</f>
        <v>3486.6756666666661</v>
      </c>
      <c r="N254" s="111">
        <f>IF(I254&gt;=Datos!$D$15,(Datos!$D$15*Datos!$C$15),IF(I254&lt;=Datos!$D$15,(I254*Datos!$C$15)))</f>
        <v>1824</v>
      </c>
      <c r="O254" s="111">
        <v>25</v>
      </c>
      <c r="P254" s="111">
        <f t="shared" si="145"/>
        <v>7057.6756666666661</v>
      </c>
      <c r="Q254" s="113">
        <f t="shared" si="146"/>
        <v>52942.324333333338</v>
      </c>
    </row>
    <row r="255" spans="1:17" s="7" customFormat="1" ht="38.25" customHeight="1" x14ac:dyDescent="0.2">
      <c r="A255" s="106">
        <v>151</v>
      </c>
      <c r="B255" s="122" t="s">
        <v>903</v>
      </c>
      <c r="C255" s="122" t="s">
        <v>284</v>
      </c>
      <c r="D255" s="127" t="s">
        <v>622</v>
      </c>
      <c r="E255" s="108" t="s">
        <v>283</v>
      </c>
      <c r="F255" s="108" t="s">
        <v>19</v>
      </c>
      <c r="G255" s="109">
        <v>45748</v>
      </c>
      <c r="H255" s="123">
        <v>45931</v>
      </c>
      <c r="I255" s="111">
        <v>60000</v>
      </c>
      <c r="J255" s="111">
        <v>0</v>
      </c>
      <c r="K255" s="111">
        <f t="shared" si="144"/>
        <v>60000</v>
      </c>
      <c r="L255" s="111">
        <f>IF(I255&gt;=Datos!$D$14,(Datos!$D$14*Datos!$C$14),IF(I255&lt;=Datos!$D$14,(I255*Datos!$C$14)))</f>
        <v>1722</v>
      </c>
      <c r="M255" s="112">
        <f>IF((I255-L255-N255)&lt;=Datos!$G$7,"0",IF((I255-L255-N255)&lt;=Datos!$G$8,((I255-L255-N255)-Datos!$F$8)*Datos!$I$6,IF((I255-L255-N255)&lt;=Datos!$G$9,Datos!$I$8+((I255-L255-N255)-Datos!$F$9)*Datos!$J$6,IF((I255-L255-N255)&gt;=Datos!$F$10,(Datos!$I$8+Datos!$J$8)+((I255-L255-N255)-Datos!$F$10)*Datos!$K$6))))</f>
        <v>3486.6756666666661</v>
      </c>
      <c r="N255" s="111">
        <f>IF(I255&gt;=Datos!$D$15,(Datos!$D$15*Datos!$C$15),IF(I255&lt;=Datos!$D$15,(I255*Datos!$C$15)))</f>
        <v>1824</v>
      </c>
      <c r="O255" s="111">
        <v>25</v>
      </c>
      <c r="P255" s="111">
        <f t="shared" si="145"/>
        <v>7057.6756666666661</v>
      </c>
      <c r="Q255" s="113">
        <f t="shared" si="146"/>
        <v>52942.324333333338</v>
      </c>
    </row>
    <row r="256" spans="1:17" s="7" customFormat="1" ht="38.25" customHeight="1" x14ac:dyDescent="0.2">
      <c r="A256" s="106">
        <v>152</v>
      </c>
      <c r="B256" s="122" t="s">
        <v>904</v>
      </c>
      <c r="C256" s="122" t="s">
        <v>284</v>
      </c>
      <c r="D256" s="127" t="s">
        <v>622</v>
      </c>
      <c r="E256" s="108" t="s">
        <v>283</v>
      </c>
      <c r="F256" s="108" t="s">
        <v>19</v>
      </c>
      <c r="G256" s="109">
        <v>45748</v>
      </c>
      <c r="H256" s="123">
        <v>45931</v>
      </c>
      <c r="I256" s="111">
        <v>60000</v>
      </c>
      <c r="J256" s="111">
        <v>0</v>
      </c>
      <c r="K256" s="111">
        <f t="shared" si="144"/>
        <v>60000</v>
      </c>
      <c r="L256" s="111">
        <f>IF(I256&gt;=Datos!$D$14,(Datos!$D$14*Datos!$C$14),IF(I256&lt;=Datos!$D$14,(I256*Datos!$C$14)))</f>
        <v>1722</v>
      </c>
      <c r="M256" s="112">
        <f>IF((I256-L256-N256)&lt;=Datos!$G$7,"0",IF((I256-L256-N256)&lt;=Datos!$G$8,((I256-L256-N256)-Datos!$F$8)*Datos!$I$6,IF((I256-L256-N256)&lt;=Datos!$G$9,Datos!$I$8+((I256-L256-N256)-Datos!$F$9)*Datos!$J$6,IF((I256-L256-N256)&gt;=Datos!$F$10,(Datos!$I$8+Datos!$J$8)+((I256-L256-N256)-Datos!$F$10)*Datos!$K$6))))</f>
        <v>3486.6756666666661</v>
      </c>
      <c r="N256" s="111">
        <f>IF(I256&gt;=Datos!$D$15,(Datos!$D$15*Datos!$C$15),IF(I256&lt;=Datos!$D$15,(I256*Datos!$C$15)))</f>
        <v>1824</v>
      </c>
      <c r="O256" s="111">
        <v>25</v>
      </c>
      <c r="P256" s="111">
        <f t="shared" si="145"/>
        <v>7057.6756666666661</v>
      </c>
      <c r="Q256" s="113">
        <f t="shared" si="146"/>
        <v>52942.324333333338</v>
      </c>
    </row>
    <row r="257" spans="1:17" s="7" customFormat="1" ht="38.25" customHeight="1" x14ac:dyDescent="0.2">
      <c r="A257" s="106">
        <v>153</v>
      </c>
      <c r="B257" s="122" t="s">
        <v>905</v>
      </c>
      <c r="C257" s="122" t="s">
        <v>284</v>
      </c>
      <c r="D257" s="127" t="s">
        <v>710</v>
      </c>
      <c r="E257" s="108" t="s">
        <v>283</v>
      </c>
      <c r="F257" s="108" t="s">
        <v>19</v>
      </c>
      <c r="G257" s="109">
        <v>45748</v>
      </c>
      <c r="H257" s="123">
        <v>45931</v>
      </c>
      <c r="I257" s="111">
        <v>60000</v>
      </c>
      <c r="J257" s="111">
        <v>0</v>
      </c>
      <c r="K257" s="111">
        <f t="shared" si="144"/>
        <v>60000</v>
      </c>
      <c r="L257" s="111">
        <f>IF(I257&gt;=Datos!$D$14,(Datos!$D$14*Datos!$C$14),IF(I257&lt;=Datos!$D$14,(I257*Datos!$C$14)))</f>
        <v>1722</v>
      </c>
      <c r="M257" s="112">
        <f>IF((I257-L257-N257)&lt;=Datos!$G$7,"0",IF((I257-L257-N257)&lt;=Datos!$G$8,((I257-L257-N257)-Datos!$F$8)*Datos!$I$6,IF((I257-L257-N257)&lt;=Datos!$G$9,Datos!$I$8+((I257-L257-N257)-Datos!$F$9)*Datos!$J$6,IF((I257-L257-N257)&gt;=Datos!$F$10,(Datos!$I$8+Datos!$J$8)+((I257-L257-N257)-Datos!$F$10)*Datos!$K$6))))</f>
        <v>3486.6756666666661</v>
      </c>
      <c r="N257" s="111">
        <f>IF(I257&gt;=Datos!$D$15,(Datos!$D$15*Datos!$C$15),IF(I257&lt;=Datos!$D$15,(I257*Datos!$C$15)))</f>
        <v>1824</v>
      </c>
      <c r="O257" s="111">
        <v>25</v>
      </c>
      <c r="P257" s="111">
        <f t="shared" si="145"/>
        <v>7057.6756666666661</v>
      </c>
      <c r="Q257" s="113">
        <f t="shared" si="146"/>
        <v>52942.324333333338</v>
      </c>
    </row>
    <row r="258" spans="1:17" s="7" customFormat="1" ht="38.25" customHeight="1" x14ac:dyDescent="0.2">
      <c r="A258" s="106">
        <v>154</v>
      </c>
      <c r="B258" s="122" t="s">
        <v>906</v>
      </c>
      <c r="C258" s="122" t="s">
        <v>284</v>
      </c>
      <c r="D258" s="127" t="s">
        <v>622</v>
      </c>
      <c r="E258" s="108" t="s">
        <v>283</v>
      </c>
      <c r="F258" s="108" t="s">
        <v>19</v>
      </c>
      <c r="G258" s="109">
        <v>45748</v>
      </c>
      <c r="H258" s="123">
        <v>45931</v>
      </c>
      <c r="I258" s="111">
        <v>60000</v>
      </c>
      <c r="J258" s="111">
        <v>0</v>
      </c>
      <c r="K258" s="111">
        <f t="shared" si="144"/>
        <v>60000</v>
      </c>
      <c r="L258" s="111">
        <f>IF(I258&gt;=Datos!$D$14,(Datos!$D$14*Datos!$C$14),IF(I258&lt;=Datos!$D$14,(I258*Datos!$C$14)))</f>
        <v>1722</v>
      </c>
      <c r="M258" s="112">
        <f>IF((I258-L258-N258)&lt;=Datos!$G$7,"0",IF((I258-L258-N258)&lt;=Datos!$G$8,((I258-L258-N258)-Datos!$F$8)*Datos!$I$6,IF((I258-L258-N258)&lt;=Datos!$G$9,Datos!$I$8+((I258-L258-N258)-Datos!$F$9)*Datos!$J$6,IF((I258-L258-N258)&gt;=Datos!$F$10,(Datos!$I$8+Datos!$J$8)+((I258-L258-N258)-Datos!$F$10)*Datos!$K$6))))</f>
        <v>3486.6756666666661</v>
      </c>
      <c r="N258" s="111">
        <f>IF(I258&gt;=Datos!$D$15,(Datos!$D$15*Datos!$C$15),IF(I258&lt;=Datos!$D$15,(I258*Datos!$C$15)))</f>
        <v>1824</v>
      </c>
      <c r="O258" s="111">
        <v>25</v>
      </c>
      <c r="P258" s="111">
        <f t="shared" si="145"/>
        <v>7057.6756666666661</v>
      </c>
      <c r="Q258" s="113">
        <f t="shared" si="146"/>
        <v>52942.324333333338</v>
      </c>
    </row>
    <row r="259" spans="1:17" s="7" customFormat="1" ht="38.25" customHeight="1" x14ac:dyDescent="0.2">
      <c r="A259" s="106">
        <v>155</v>
      </c>
      <c r="B259" s="122" t="s">
        <v>907</v>
      </c>
      <c r="C259" s="122" t="s">
        <v>284</v>
      </c>
      <c r="D259" s="127" t="s">
        <v>622</v>
      </c>
      <c r="E259" s="108" t="s">
        <v>283</v>
      </c>
      <c r="F259" s="108" t="s">
        <v>19</v>
      </c>
      <c r="G259" s="109">
        <v>45748</v>
      </c>
      <c r="H259" s="123">
        <v>45931</v>
      </c>
      <c r="I259" s="111">
        <v>60000</v>
      </c>
      <c r="J259" s="111">
        <v>0</v>
      </c>
      <c r="K259" s="111">
        <f t="shared" si="144"/>
        <v>60000</v>
      </c>
      <c r="L259" s="111">
        <f>IF(I259&gt;=Datos!$D$14,(Datos!$D$14*Datos!$C$14),IF(I259&lt;=Datos!$D$14,(I259*Datos!$C$14)))</f>
        <v>1722</v>
      </c>
      <c r="M259" s="112">
        <f>IF((I259-L259-N259)&lt;=Datos!$G$7,"0",IF((I259-L259-N259)&lt;=Datos!$G$8,((I259-L259-N259)-Datos!$F$8)*Datos!$I$6,IF((I259-L259-N259)&lt;=Datos!$G$9,Datos!$I$8+((I259-L259-N259)-Datos!$F$9)*Datos!$J$6,IF((I259-L259-N259)&gt;=Datos!$F$10,(Datos!$I$8+Datos!$J$8)+((I259-L259-N259)-Datos!$F$10)*Datos!$K$6))))</f>
        <v>3486.6756666666661</v>
      </c>
      <c r="N259" s="111">
        <f>IF(I259&gt;=Datos!$D$15,(Datos!$D$15*Datos!$C$15),IF(I259&lt;=Datos!$D$15,(I259*Datos!$C$15)))</f>
        <v>1824</v>
      </c>
      <c r="O259" s="111">
        <v>25</v>
      </c>
      <c r="P259" s="111">
        <f t="shared" si="145"/>
        <v>7057.6756666666661</v>
      </c>
      <c r="Q259" s="113">
        <f t="shared" si="146"/>
        <v>52942.324333333338</v>
      </c>
    </row>
    <row r="260" spans="1:17" s="7" customFormat="1" ht="38.25" customHeight="1" x14ac:dyDescent="0.2">
      <c r="A260" s="106">
        <v>156</v>
      </c>
      <c r="B260" s="122" t="s">
        <v>561</v>
      </c>
      <c r="C260" s="122" t="s">
        <v>284</v>
      </c>
      <c r="D260" s="127" t="s">
        <v>623</v>
      </c>
      <c r="E260" s="108" t="s">
        <v>283</v>
      </c>
      <c r="F260" s="108" t="s">
        <v>19</v>
      </c>
      <c r="G260" s="109">
        <v>45778</v>
      </c>
      <c r="H260" s="123">
        <v>45962</v>
      </c>
      <c r="I260" s="111">
        <v>72600</v>
      </c>
      <c r="J260" s="111">
        <v>0</v>
      </c>
      <c r="K260" s="111">
        <f t="shared" si="139"/>
        <v>72600</v>
      </c>
      <c r="L260" s="111">
        <f>IF(I260&gt;=Datos!$D$14,(Datos!$D$14*Datos!$C$14),IF(I260&lt;=Datos!$D$14,(I260*Datos!$C$14)))</f>
        <v>2083.62</v>
      </c>
      <c r="M260" s="112">
        <f>IF((I260-L260-N260)&lt;=Datos!$G$7,"0",IF((I260-L260-N260)&lt;=Datos!$G$8,((I260-L260-N260)-Datos!$F$8)*Datos!$I$6,IF((I260-L260-N260)&lt;=Datos!$G$9,Datos!$I$8+((I260-L260-N260)-Datos!$F$9)*Datos!$J$6,IF((I260-L260-N260)&gt;=Datos!$F$10,(Datos!$I$8+Datos!$J$8)+((I260-L260-N260)-Datos!$F$10)*Datos!$K$6))))</f>
        <v>5857.743666666669</v>
      </c>
      <c r="N260" s="111">
        <f>IF(I260&gt;=Datos!$D$15,(Datos!$D$15*Datos!$C$15),IF(I260&lt;=Datos!$D$15,(I260*Datos!$C$15)))</f>
        <v>2207.04</v>
      </c>
      <c r="O260" s="111">
        <v>25</v>
      </c>
      <c r="P260" s="111">
        <f>SUM(L260:O260)</f>
        <v>10173.403666666669</v>
      </c>
      <c r="Q260" s="113">
        <f>+K260-P260</f>
        <v>62426.596333333335</v>
      </c>
    </row>
    <row r="261" spans="1:17" s="7" customFormat="1" ht="38.25" customHeight="1" x14ac:dyDescent="0.2">
      <c r="A261" s="106">
        <v>157</v>
      </c>
      <c r="B261" s="122" t="s">
        <v>996</v>
      </c>
      <c r="C261" s="122" t="s">
        <v>284</v>
      </c>
      <c r="D261" s="127" t="s">
        <v>608</v>
      </c>
      <c r="E261" s="108" t="s">
        <v>283</v>
      </c>
      <c r="F261" s="108" t="s">
        <v>19</v>
      </c>
      <c r="G261" s="109">
        <v>45809</v>
      </c>
      <c r="H261" s="123">
        <v>45992</v>
      </c>
      <c r="I261" s="111">
        <v>60000</v>
      </c>
      <c r="J261" s="111">
        <v>0</v>
      </c>
      <c r="K261" s="111">
        <f t="shared" ref="K261" si="147">SUM(I261:J261)</f>
        <v>60000</v>
      </c>
      <c r="L261" s="111">
        <f>IF(I261&gt;=Datos!$D$14,(Datos!$D$14*Datos!$C$14),IF(I261&lt;=Datos!$D$14,(I261*Datos!$C$14)))</f>
        <v>1722</v>
      </c>
      <c r="M261" s="112">
        <f>IF((I261-L261-N261)&lt;=Datos!$G$7,"0",IF((I261-L261-N261)&lt;=Datos!$G$8,((I261-L261-N261)-Datos!$F$8)*Datos!$I$6,IF((I261-L261-N261)&lt;=Datos!$G$9,Datos!$I$8+((I261-L261-N261)-Datos!$F$9)*Datos!$J$6,IF((I261-L261-N261)&gt;=Datos!$F$10,(Datos!$I$8+Datos!$J$8)+((I261-L261-N261)-Datos!$F$10)*Datos!$K$6))))</f>
        <v>3486.6756666666661</v>
      </c>
      <c r="N261" s="111">
        <f>IF(I261&gt;=Datos!$D$15,(Datos!$D$15*Datos!$C$15),IF(I261&lt;=Datos!$D$15,(I261*Datos!$C$15)))</f>
        <v>1824</v>
      </c>
      <c r="O261" s="111">
        <v>25</v>
      </c>
      <c r="P261" s="111">
        <f>SUM(L261:O261)</f>
        <v>7057.6756666666661</v>
      </c>
      <c r="Q261" s="113">
        <f>+K261-P261</f>
        <v>52942.324333333338</v>
      </c>
    </row>
    <row r="262" spans="1:17" s="85" customFormat="1" ht="36.75" customHeight="1" x14ac:dyDescent="0.2">
      <c r="A262" s="303" t="s">
        <v>455</v>
      </c>
      <c r="B262" s="305"/>
      <c r="C262" s="116">
        <v>19</v>
      </c>
      <c r="D262" s="307"/>
      <c r="E262" s="307"/>
      <c r="F262" s="307"/>
      <c r="G262" s="307"/>
      <c r="H262" s="308"/>
      <c r="I262" s="121">
        <f>SUM(I243:I261)</f>
        <v>1090400</v>
      </c>
      <c r="J262" s="121">
        <f t="shared" ref="J262:Q262" si="148">SUM(J243:J261)</f>
        <v>0</v>
      </c>
      <c r="K262" s="121">
        <f t="shared" si="148"/>
        <v>1090400</v>
      </c>
      <c r="L262" s="121">
        <f t="shared" si="148"/>
        <v>31294.48</v>
      </c>
      <c r="M262" s="121">
        <f t="shared" si="148"/>
        <v>61784.406999999992</v>
      </c>
      <c r="N262" s="121">
        <f t="shared" si="148"/>
        <v>33148.160000000003</v>
      </c>
      <c r="O262" s="121">
        <f t="shared" si="148"/>
        <v>475</v>
      </c>
      <c r="P262" s="121">
        <f t="shared" si="148"/>
        <v>126702.04699999996</v>
      </c>
      <c r="Q262" s="121">
        <f t="shared" si="148"/>
        <v>963697.95299999975</v>
      </c>
    </row>
    <row r="263" spans="1:17" s="7" customFormat="1" ht="36.75" customHeight="1" x14ac:dyDescent="0.2">
      <c r="A263" s="303" t="s">
        <v>742</v>
      </c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6"/>
    </row>
    <row r="264" spans="1:17" s="7" customFormat="1" ht="38.25" customHeight="1" x14ac:dyDescent="0.2">
      <c r="A264" s="106">
        <v>158</v>
      </c>
      <c r="B264" s="122" t="s">
        <v>741</v>
      </c>
      <c r="C264" s="122" t="s">
        <v>285</v>
      </c>
      <c r="D264" s="127" t="s">
        <v>310</v>
      </c>
      <c r="E264" s="108" t="s">
        <v>283</v>
      </c>
      <c r="F264" s="108" t="s">
        <v>19</v>
      </c>
      <c r="G264" s="109">
        <v>45809</v>
      </c>
      <c r="H264" s="123">
        <v>45992</v>
      </c>
      <c r="I264" s="111">
        <v>72600</v>
      </c>
      <c r="J264" s="111">
        <v>0</v>
      </c>
      <c r="K264" s="111">
        <f>SUM(I264:J264)</f>
        <v>72600</v>
      </c>
      <c r="L264" s="111">
        <f>IF(I264&gt;=Datos!$D$14,(Datos!$D$14*Datos!$C$14),IF(I264&lt;=Datos!$D$14,(I264*Datos!$C$14)))</f>
        <v>2083.62</v>
      </c>
      <c r="M264" s="112">
        <f>IF((I264-L264-N264)&lt;=Datos!$G$7,"0",IF((I264-L264-N264)&lt;=Datos!$G$8,((I264-L264-N264)-Datos!$F$8)*Datos!$I$6,IF((I264-L264-N264)&lt;=Datos!$G$9,Datos!$I$8+((I264-L264-N264)-Datos!$F$9)*Datos!$J$6,IF((I264-L264-N264)&gt;=Datos!$F$10,(Datos!$I$8+Datos!$J$8)+((I264-L264-N264)-Datos!$F$10)*Datos!$K$6))))</f>
        <v>5857.743666666669</v>
      </c>
      <c r="N264" s="111">
        <f>IF(I264&gt;=Datos!$D$15,(Datos!$D$15*Datos!$C$15),IF(I264&lt;=Datos!$D$15,(I264*Datos!$C$15)))</f>
        <v>2207.04</v>
      </c>
      <c r="O264" s="111">
        <v>25</v>
      </c>
      <c r="P264" s="111">
        <f>SUM(L264:O264)</f>
        <v>10173.403666666669</v>
      </c>
      <c r="Q264" s="113">
        <f>+K264-P264</f>
        <v>62426.596333333335</v>
      </c>
    </row>
    <row r="265" spans="1:17" s="85" customFormat="1" ht="36.75" customHeight="1" x14ac:dyDescent="0.2">
      <c r="A265" s="303" t="s">
        <v>455</v>
      </c>
      <c r="B265" s="305"/>
      <c r="C265" s="116">
        <v>1</v>
      </c>
      <c r="D265" s="307"/>
      <c r="E265" s="307"/>
      <c r="F265" s="307"/>
      <c r="G265" s="307"/>
      <c r="H265" s="308"/>
      <c r="I265" s="121">
        <f>SUM(I264)</f>
        <v>72600</v>
      </c>
      <c r="J265" s="121">
        <f t="shared" ref="J265:Q265" si="149">SUM(J264)</f>
        <v>0</v>
      </c>
      <c r="K265" s="121">
        <f t="shared" si="149"/>
        <v>72600</v>
      </c>
      <c r="L265" s="121">
        <f t="shared" si="149"/>
        <v>2083.62</v>
      </c>
      <c r="M265" s="121">
        <f t="shared" si="149"/>
        <v>5857.743666666669</v>
      </c>
      <c r="N265" s="121">
        <f t="shared" si="149"/>
        <v>2207.04</v>
      </c>
      <c r="O265" s="121">
        <f t="shared" si="149"/>
        <v>25</v>
      </c>
      <c r="P265" s="121">
        <f t="shared" si="149"/>
        <v>10173.403666666669</v>
      </c>
      <c r="Q265" s="121">
        <f t="shared" si="149"/>
        <v>62426.596333333335</v>
      </c>
    </row>
    <row r="266" spans="1:17" ht="36.75" customHeight="1" thickBot="1" x14ac:dyDescent="0.25">
      <c r="A266" s="301" t="s">
        <v>11</v>
      </c>
      <c r="B266" s="300"/>
      <c r="C266" s="298"/>
      <c r="D266" s="299"/>
      <c r="E266" s="299"/>
      <c r="F266" s="299"/>
      <c r="G266" s="299"/>
      <c r="H266" s="300"/>
      <c r="I266" s="192">
        <f>+I235+I238+I96+I125+I61+I163++I265+I223+I160+I41+I151+I262+I241+I134+I114+I177+I27+I157+I174+I137+I34+I146+I140+I131+I122+I118+I111+I108+I103+I93+I89+I85+I81+I76+I71+I66+I58+I53+I46+I37+I128+I31+I24+I21+I16+I226+I168</f>
        <v>10602400</v>
      </c>
      <c r="J266" s="192">
        <f t="shared" ref="J266:Q266" si="150">+J235+J238+J96+J125+J61+J163++J265+J223+J160+J41+J151+J262+J241+J134+J114+J177+J27+J157+J174+J137+J34+J146+J140+J131+J122+J118+J111+J108+J103+J93+J89+J85+J81+J76+J71+J66+J58+J53+J46+J37+J128+J31+J24+J21+J16+J226+J168</f>
        <v>0</v>
      </c>
      <c r="K266" s="192">
        <f t="shared" si="150"/>
        <v>10602400</v>
      </c>
      <c r="L266" s="192">
        <f t="shared" si="150"/>
        <v>304288.88</v>
      </c>
      <c r="M266" s="192">
        <f t="shared" si="150"/>
        <v>856712.62049999961</v>
      </c>
      <c r="N266" s="192">
        <f t="shared" si="150"/>
        <v>322312.96000000002</v>
      </c>
      <c r="O266" s="192">
        <f t="shared" si="150"/>
        <v>296076.01</v>
      </c>
      <c r="P266" s="192">
        <f t="shared" si="150"/>
        <v>1779390.4705000003</v>
      </c>
      <c r="Q266" s="192">
        <f t="shared" si="150"/>
        <v>8823009.5294999983</v>
      </c>
    </row>
    <row r="267" spans="1:17" ht="25.5" customHeight="1" x14ac:dyDescent="0.2"/>
    <row r="268" spans="1:17" x14ac:dyDescent="0.2">
      <c r="I268" s="195"/>
    </row>
    <row r="271" spans="1:17" x14ac:dyDescent="0.2">
      <c r="J271" s="7"/>
      <c r="K271" s="7"/>
      <c r="N271"/>
    </row>
    <row r="272" spans="1:17" ht="12.75" customHeight="1" x14ac:dyDescent="0.2">
      <c r="C272" s="2" t="s">
        <v>20</v>
      </c>
      <c r="D272" s="2"/>
      <c r="E272" s="290" t="s">
        <v>22</v>
      </c>
      <c r="F272" s="290"/>
      <c r="G272" s="2"/>
      <c r="H272" s="2"/>
      <c r="J272" s="7"/>
      <c r="K272" s="7"/>
      <c r="N272" s="290" t="s">
        <v>22</v>
      </c>
      <c r="O272" s="290"/>
    </row>
    <row r="273" spans="3:17" x14ac:dyDescent="0.2">
      <c r="C273" s="2"/>
      <c r="D273" s="2"/>
      <c r="F273" s="5"/>
      <c r="G273" s="5"/>
      <c r="H273" s="5"/>
      <c r="J273" s="7"/>
      <c r="K273" s="7"/>
      <c r="N273"/>
    </row>
    <row r="274" spans="3:17" x14ac:dyDescent="0.2">
      <c r="C274" s="2"/>
      <c r="D274" s="2"/>
      <c r="F274" s="5"/>
      <c r="G274" s="5"/>
      <c r="H274" s="5"/>
      <c r="J274" s="7"/>
      <c r="K274" s="7"/>
      <c r="N274"/>
    </row>
    <row r="275" spans="3:17" x14ac:dyDescent="0.2">
      <c r="C275" s="139"/>
      <c r="D275" s="2"/>
      <c r="E275" s="139"/>
      <c r="F275" s="139"/>
      <c r="G275" s="5"/>
      <c r="H275" s="5"/>
      <c r="J275" s="7"/>
      <c r="K275" s="7"/>
      <c r="N275" s="140"/>
      <c r="O275" s="140"/>
    </row>
    <row r="276" spans="3:17" x14ac:dyDescent="0.2">
      <c r="C276" s="2" t="s">
        <v>21</v>
      </c>
      <c r="D276" s="2"/>
      <c r="E276" s="297" t="s">
        <v>24</v>
      </c>
      <c r="F276" s="297"/>
      <c r="G276" s="2"/>
      <c r="H276" s="2"/>
      <c r="J276" s="7"/>
      <c r="K276" s="7"/>
      <c r="N276" s="290" t="s">
        <v>23</v>
      </c>
      <c r="O276" s="290"/>
    </row>
    <row r="277" spans="3:17" x14ac:dyDescent="0.2">
      <c r="J277" s="7"/>
      <c r="K277" s="7"/>
      <c r="N277"/>
    </row>
    <row r="278" spans="3:17" x14ac:dyDescent="0.2">
      <c r="J278" s="7"/>
      <c r="K278" s="7"/>
      <c r="N278"/>
    </row>
    <row r="281" spans="3:17" x14ac:dyDescent="0.2">
      <c r="H281" t="s">
        <v>997</v>
      </c>
      <c r="I281" s="255">
        <v>10602400</v>
      </c>
      <c r="J281" s="255">
        <v>0</v>
      </c>
      <c r="K281" s="255">
        <v>10602400</v>
      </c>
      <c r="L281" s="256">
        <v>304288.88</v>
      </c>
      <c r="M281" s="256">
        <v>856713.01</v>
      </c>
      <c r="N281" s="256">
        <v>322312.96000000002</v>
      </c>
      <c r="O281" s="255">
        <v>296076.01</v>
      </c>
      <c r="P281" s="255">
        <v>1779390.86</v>
      </c>
      <c r="Q281" s="255">
        <v>8823009.1400000006</v>
      </c>
    </row>
    <row r="282" spans="3:17" x14ac:dyDescent="0.2">
      <c r="I282" s="195">
        <f>+I281-I266</f>
        <v>0</v>
      </c>
      <c r="J282" s="195">
        <f t="shared" ref="J282:Q282" si="151">+J281-J266</f>
        <v>0</v>
      </c>
      <c r="K282" s="195">
        <f t="shared" si="151"/>
        <v>0</v>
      </c>
      <c r="L282" s="195">
        <f t="shared" si="151"/>
        <v>0</v>
      </c>
      <c r="M282" s="195">
        <f t="shared" si="151"/>
        <v>0.38950000039767474</v>
      </c>
      <c r="N282" s="195">
        <f t="shared" si="151"/>
        <v>0</v>
      </c>
      <c r="O282" s="195">
        <f t="shared" si="151"/>
        <v>0</v>
      </c>
      <c r="P282" s="195">
        <f t="shared" si="151"/>
        <v>0.38949999981559813</v>
      </c>
      <c r="Q282" s="195">
        <f t="shared" si="151"/>
        <v>-0.38949999772012234</v>
      </c>
    </row>
  </sheetData>
  <autoFilter ref="O2:O278" xr:uid="{00000000-0009-0000-0000-000003000000}"/>
  <sortState xmlns:xlrd2="http://schemas.microsoft.com/office/spreadsheetml/2017/richdata2" ref="B17:Q52">
    <sortCondition ref="B17:B52"/>
  </sortState>
  <mergeCells count="136">
    <mergeCell ref="A238:B238"/>
    <mergeCell ref="D238:H238"/>
    <mergeCell ref="A14:Q14"/>
    <mergeCell ref="A16:B16"/>
    <mergeCell ref="A53:B53"/>
    <mergeCell ref="A47:Q47"/>
    <mergeCell ref="A54:Q54"/>
    <mergeCell ref="A28:Q28"/>
    <mergeCell ref="A31:B31"/>
    <mergeCell ref="A42:Q42"/>
    <mergeCell ref="A46:B46"/>
    <mergeCell ref="A22:Q22"/>
    <mergeCell ref="A35:Q35"/>
    <mergeCell ref="A24:B24"/>
    <mergeCell ref="A37:B37"/>
    <mergeCell ref="A38:Q38"/>
    <mergeCell ref="A41:B41"/>
    <mergeCell ref="A25:Q25"/>
    <mergeCell ref="A27:B27"/>
    <mergeCell ref="A32:Q32"/>
    <mergeCell ref="A34:B34"/>
    <mergeCell ref="A135:Q135"/>
    <mergeCell ref="A62:Q62"/>
    <mergeCell ref="A67:Q67"/>
    <mergeCell ref="A89:B89"/>
    <mergeCell ref="A90:Q90"/>
    <mergeCell ref="A93:B93"/>
    <mergeCell ref="D93:H93"/>
    <mergeCell ref="D76:H76"/>
    <mergeCell ref="A132:Q132"/>
    <mergeCell ref="A134:B134"/>
    <mergeCell ref="D134:H134"/>
    <mergeCell ref="A131:B131"/>
    <mergeCell ref="D131:H131"/>
    <mergeCell ref="A109:Q109"/>
    <mergeCell ref="A128:B128"/>
    <mergeCell ref="D128:H128"/>
    <mergeCell ref="A126:Q126"/>
    <mergeCell ref="A94:Q94"/>
    <mergeCell ref="A96:B96"/>
    <mergeCell ref="D96:H96"/>
    <mergeCell ref="A266:B266"/>
    <mergeCell ref="C266:H266"/>
    <mergeCell ref="A175:Q175"/>
    <mergeCell ref="A177:B177"/>
    <mergeCell ref="D177:H177"/>
    <mergeCell ref="A242:Q242"/>
    <mergeCell ref="A262:B262"/>
    <mergeCell ref="D262:H262"/>
    <mergeCell ref="D241:H241"/>
    <mergeCell ref="A241:B241"/>
    <mergeCell ref="A239:Q239"/>
    <mergeCell ref="A263:Q263"/>
    <mergeCell ref="A265:B265"/>
    <mergeCell ref="D265:H265"/>
    <mergeCell ref="A178:Q178"/>
    <mergeCell ref="A223:B223"/>
    <mergeCell ref="D223:H223"/>
    <mergeCell ref="A227:Q227"/>
    <mergeCell ref="A235:B235"/>
    <mergeCell ref="D235:H235"/>
    <mergeCell ref="A224:Q224"/>
    <mergeCell ref="A226:B226"/>
    <mergeCell ref="D226:H226"/>
    <mergeCell ref="A236:Q236"/>
    <mergeCell ref="A137:B137"/>
    <mergeCell ref="D137:H137"/>
    <mergeCell ref="N272:O272"/>
    <mergeCell ref="N276:O276"/>
    <mergeCell ref="A5:Q5"/>
    <mergeCell ref="A7:Q7"/>
    <mergeCell ref="A6:Q6"/>
    <mergeCell ref="E272:F272"/>
    <mergeCell ref="E276:F276"/>
    <mergeCell ref="A17:Q17"/>
    <mergeCell ref="A21:B21"/>
    <mergeCell ref="A58:B58"/>
    <mergeCell ref="D58:H58"/>
    <mergeCell ref="A115:Q115"/>
    <mergeCell ref="A119:Q119"/>
    <mergeCell ref="B9:N9"/>
    <mergeCell ref="A81:B81"/>
    <mergeCell ref="A129:Q129"/>
    <mergeCell ref="A71:B71"/>
    <mergeCell ref="A85:B85"/>
    <mergeCell ref="A122:B122"/>
    <mergeCell ref="D122:H122"/>
    <mergeCell ref="A118:B118"/>
    <mergeCell ref="A141:Q141"/>
    <mergeCell ref="A146:B146"/>
    <mergeCell ref="D146:H146"/>
    <mergeCell ref="A138:Q138"/>
    <mergeCell ref="A140:B140"/>
    <mergeCell ref="D140:H140"/>
    <mergeCell ref="A158:Q158"/>
    <mergeCell ref="A160:B160"/>
    <mergeCell ref="D160:H160"/>
    <mergeCell ref="A147:Q147"/>
    <mergeCell ref="A151:B151"/>
    <mergeCell ref="D151:H151"/>
    <mergeCell ref="A161:Q161"/>
    <mergeCell ref="A163:B163"/>
    <mergeCell ref="D163:H163"/>
    <mergeCell ref="A152:Q152"/>
    <mergeCell ref="A157:B157"/>
    <mergeCell ref="D157:H157"/>
    <mergeCell ref="A169:Q169"/>
    <mergeCell ref="A174:B174"/>
    <mergeCell ref="D174:H174"/>
    <mergeCell ref="A164:Q164"/>
    <mergeCell ref="A168:B168"/>
    <mergeCell ref="D168:H168"/>
    <mergeCell ref="A59:Q59"/>
    <mergeCell ref="A61:B61"/>
    <mergeCell ref="D61:H61"/>
    <mergeCell ref="A123:Q123"/>
    <mergeCell ref="A125:B125"/>
    <mergeCell ref="D125:H125"/>
    <mergeCell ref="A112:Q112"/>
    <mergeCell ref="A114:B114"/>
    <mergeCell ref="D114:H114"/>
    <mergeCell ref="D118:H118"/>
    <mergeCell ref="A72:Q72"/>
    <mergeCell ref="A76:B76"/>
    <mergeCell ref="A111:B111"/>
    <mergeCell ref="D111:H111"/>
    <mergeCell ref="A97:Q97"/>
    <mergeCell ref="A104:Q104"/>
    <mergeCell ref="A103:B103"/>
    <mergeCell ref="A77:Q77"/>
    <mergeCell ref="A82:Q82"/>
    <mergeCell ref="A86:Q86"/>
    <mergeCell ref="A108:B108"/>
    <mergeCell ref="D108:H108"/>
    <mergeCell ref="A66:B66"/>
    <mergeCell ref="D66:H66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3"/>
  <sheetViews>
    <sheetView showGridLines="0" tabSelected="1" topLeftCell="A36" zoomScale="91" zoomScaleNormal="91" zoomScaleSheetLayoutView="48" workbookViewId="0">
      <selection activeCell="D36" sqref="D1:D1048576"/>
    </sheetView>
  </sheetViews>
  <sheetFormatPr baseColWidth="10" defaultColWidth="9.140625" defaultRowHeight="12.75" x14ac:dyDescent="0.2"/>
  <cols>
    <col min="1" max="1" width="6.5703125" style="94" customWidth="1"/>
    <col min="2" max="2" width="25" customWidth="1"/>
    <col min="3" max="5" width="25.42578125" customWidth="1"/>
    <col min="6" max="6" width="18.28515625" customWidth="1"/>
    <col min="7" max="7" width="13.28515625" customWidth="1"/>
    <col min="8" max="8" width="16.42578125" customWidth="1"/>
    <col min="9" max="9" width="13.28515625" customWidth="1"/>
    <col min="10" max="11" width="14.28515625" customWidth="1"/>
    <col min="12" max="13" width="13.28515625" customWidth="1"/>
    <col min="14" max="14" width="15.42578125" customWidth="1"/>
  </cols>
  <sheetData>
    <row r="1" spans="1:16" ht="37.5" customHeight="1" x14ac:dyDescent="0.2"/>
    <row r="2" spans="1:16" ht="19.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6" ht="9.75" customHeight="1" x14ac:dyDescent="0.2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6" ht="21.75" customHeight="1" x14ac:dyDescent="0.2">
      <c r="A4" s="286" t="s">
        <v>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6" ht="26.25" customHeight="1" x14ac:dyDescent="0.25">
      <c r="A5" s="286" t="s">
        <v>1003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14"/>
      <c r="P5" s="14"/>
    </row>
    <row r="6" spans="1:16" ht="10.5" customHeight="1" x14ac:dyDescent="0.2">
      <c r="B6" s="143"/>
      <c r="F6" s="143"/>
      <c r="G6" s="143"/>
      <c r="H6" s="143"/>
      <c r="J6" s="143"/>
      <c r="L6" s="143"/>
      <c r="M6" s="143"/>
    </row>
    <row r="7" spans="1:16" x14ac:dyDescent="0.2">
      <c r="A7" s="160"/>
      <c r="B7" s="290"/>
      <c r="C7" s="290"/>
      <c r="D7" s="290"/>
      <c r="E7" s="290"/>
      <c r="F7" s="290"/>
      <c r="G7" s="290"/>
      <c r="H7" s="290"/>
      <c r="I7" s="290"/>
      <c r="J7" s="291"/>
      <c r="K7" s="292"/>
      <c r="L7" s="293"/>
      <c r="M7" s="290"/>
      <c r="N7" s="2"/>
    </row>
    <row r="8" spans="1:16" ht="14.25" customHeight="1" thickBot="1" x14ac:dyDescent="0.25">
      <c r="B8" s="143"/>
      <c r="F8" s="143"/>
      <c r="G8" s="143"/>
      <c r="H8" s="143"/>
      <c r="J8" s="143"/>
      <c r="L8" s="143"/>
      <c r="M8" s="143"/>
    </row>
    <row r="9" spans="1:16" s="4" customFormat="1" ht="29.25" customHeight="1" thickBot="1" x14ac:dyDescent="0.25">
      <c r="A9" s="193" t="s">
        <v>8</v>
      </c>
      <c r="B9" s="144" t="s">
        <v>17</v>
      </c>
      <c r="C9" s="144" t="s">
        <v>6</v>
      </c>
      <c r="D9" s="144" t="s">
        <v>279</v>
      </c>
      <c r="E9" s="144" t="s">
        <v>18</v>
      </c>
      <c r="F9" s="144" t="s">
        <v>12</v>
      </c>
      <c r="G9" s="144" t="s">
        <v>319</v>
      </c>
      <c r="H9" s="144" t="s">
        <v>320</v>
      </c>
      <c r="I9" s="144" t="s">
        <v>0</v>
      </c>
      <c r="J9" s="144" t="s">
        <v>1</v>
      </c>
      <c r="K9" s="144" t="s">
        <v>2</v>
      </c>
      <c r="L9" s="144" t="s">
        <v>321</v>
      </c>
      <c r="M9" s="144" t="s">
        <v>322</v>
      </c>
      <c r="N9" s="145" t="s">
        <v>10</v>
      </c>
    </row>
    <row r="10" spans="1:16" s="7" customFormat="1" ht="36.75" customHeight="1" x14ac:dyDescent="0.2">
      <c r="A10" s="294" t="s">
        <v>484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</row>
    <row r="11" spans="1:16" s="1" customFormat="1" ht="32.1" customHeight="1" x14ac:dyDescent="0.2">
      <c r="A11" s="146">
        <v>1</v>
      </c>
      <c r="B11" s="122" t="s">
        <v>284</v>
      </c>
      <c r="C11" s="114" t="s">
        <v>665</v>
      </c>
      <c r="D11" s="148" t="s">
        <v>318</v>
      </c>
      <c r="E11" s="115" t="s">
        <v>281</v>
      </c>
      <c r="F11" s="134">
        <v>18000</v>
      </c>
      <c r="G11" s="134">
        <v>0</v>
      </c>
      <c r="H11" s="134">
        <f>+F11+G11</f>
        <v>18000</v>
      </c>
      <c r="I11" s="134">
        <v>0</v>
      </c>
      <c r="J11" s="134">
        <v>0</v>
      </c>
      <c r="K11" s="134">
        <v>0</v>
      </c>
      <c r="L11" s="134">
        <v>0</v>
      </c>
      <c r="M11" s="134">
        <f t="shared" ref="M11:M12" si="0">SUM(I11:L11)</f>
        <v>0</v>
      </c>
      <c r="N11" s="113">
        <f t="shared" ref="N11:N29" si="1">+H11-M11</f>
        <v>18000</v>
      </c>
    </row>
    <row r="12" spans="1:16" s="1" customFormat="1" ht="32.1" customHeight="1" x14ac:dyDescent="0.2">
      <c r="A12" s="146">
        <v>2</v>
      </c>
      <c r="B12" s="114" t="s">
        <v>284</v>
      </c>
      <c r="C12" s="114" t="s">
        <v>325</v>
      </c>
      <c r="D12" s="148" t="s">
        <v>318</v>
      </c>
      <c r="E12" s="115" t="s">
        <v>281</v>
      </c>
      <c r="F12" s="134">
        <v>13000</v>
      </c>
      <c r="G12" s="134">
        <v>0</v>
      </c>
      <c r="H12" s="134">
        <f t="shared" ref="H12:H32" si="2">+F12+G12</f>
        <v>13000</v>
      </c>
      <c r="I12" s="134">
        <v>0</v>
      </c>
      <c r="J12" s="134">
        <v>0</v>
      </c>
      <c r="K12" s="134">
        <v>0</v>
      </c>
      <c r="L12" s="134">
        <v>0</v>
      </c>
      <c r="M12" s="134">
        <f t="shared" si="0"/>
        <v>0</v>
      </c>
      <c r="N12" s="113">
        <f t="shared" si="1"/>
        <v>13000</v>
      </c>
    </row>
    <row r="13" spans="1:16" s="16" customFormat="1" ht="32.1" customHeight="1" x14ac:dyDescent="0.2">
      <c r="A13" s="146">
        <v>3</v>
      </c>
      <c r="B13" s="114" t="s">
        <v>284</v>
      </c>
      <c r="C13" s="114" t="s">
        <v>325</v>
      </c>
      <c r="D13" s="148" t="s">
        <v>318</v>
      </c>
      <c r="E13" s="115" t="s">
        <v>281</v>
      </c>
      <c r="F13" s="134">
        <v>13000</v>
      </c>
      <c r="G13" s="134">
        <v>0</v>
      </c>
      <c r="H13" s="134">
        <f t="shared" si="2"/>
        <v>13000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13">
        <f t="shared" si="1"/>
        <v>13000</v>
      </c>
    </row>
    <row r="14" spans="1:16" s="1" customFormat="1" ht="32.1" customHeight="1" x14ac:dyDescent="0.2">
      <c r="A14" s="146">
        <v>4</v>
      </c>
      <c r="B14" s="114" t="s">
        <v>284</v>
      </c>
      <c r="C14" s="122" t="s">
        <v>665</v>
      </c>
      <c r="D14" s="148" t="s">
        <v>318</v>
      </c>
      <c r="E14" s="115" t="s">
        <v>281</v>
      </c>
      <c r="F14" s="134">
        <v>10500</v>
      </c>
      <c r="G14" s="134">
        <v>0</v>
      </c>
      <c r="H14" s="134">
        <f t="shared" si="2"/>
        <v>10500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13">
        <f t="shared" si="1"/>
        <v>10500</v>
      </c>
    </row>
    <row r="15" spans="1:16" s="1" customFormat="1" ht="32.1" customHeight="1" x14ac:dyDescent="0.2">
      <c r="A15" s="146">
        <v>5</v>
      </c>
      <c r="B15" s="114" t="s">
        <v>284</v>
      </c>
      <c r="C15" s="114" t="s">
        <v>665</v>
      </c>
      <c r="D15" s="148" t="s">
        <v>318</v>
      </c>
      <c r="E15" s="115" t="s">
        <v>281</v>
      </c>
      <c r="F15" s="134">
        <v>10500</v>
      </c>
      <c r="G15" s="134">
        <v>0</v>
      </c>
      <c r="H15" s="134">
        <f t="shared" si="2"/>
        <v>10500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13">
        <f t="shared" si="1"/>
        <v>10500</v>
      </c>
    </row>
    <row r="16" spans="1:16" s="1" customFormat="1" ht="32.1" customHeight="1" x14ac:dyDescent="0.2">
      <c r="A16" s="146">
        <v>6</v>
      </c>
      <c r="B16" s="114" t="s">
        <v>284</v>
      </c>
      <c r="C16" s="114" t="s">
        <v>665</v>
      </c>
      <c r="D16" s="148" t="s">
        <v>318</v>
      </c>
      <c r="E16" s="115" t="s">
        <v>281</v>
      </c>
      <c r="F16" s="134">
        <v>13000</v>
      </c>
      <c r="G16" s="134">
        <v>0</v>
      </c>
      <c r="H16" s="134">
        <f t="shared" si="2"/>
        <v>13000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13">
        <f t="shared" si="1"/>
        <v>13000</v>
      </c>
    </row>
    <row r="17" spans="1:14" s="1" customFormat="1" ht="32.1" customHeight="1" x14ac:dyDescent="0.2">
      <c r="A17" s="146">
        <v>7</v>
      </c>
      <c r="B17" s="114" t="s">
        <v>284</v>
      </c>
      <c r="C17" s="114" t="s">
        <v>665</v>
      </c>
      <c r="D17" s="148" t="s">
        <v>318</v>
      </c>
      <c r="E17" s="115" t="s">
        <v>281</v>
      </c>
      <c r="F17" s="134">
        <v>13000</v>
      </c>
      <c r="G17" s="134">
        <v>0</v>
      </c>
      <c r="H17" s="134">
        <f t="shared" si="2"/>
        <v>13000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13">
        <f t="shared" si="1"/>
        <v>13000</v>
      </c>
    </row>
    <row r="18" spans="1:14" s="1" customFormat="1" ht="32.1" customHeight="1" x14ac:dyDescent="0.2">
      <c r="A18" s="146">
        <v>8</v>
      </c>
      <c r="B18" s="114" t="s">
        <v>284</v>
      </c>
      <c r="C18" s="114" t="s">
        <v>665</v>
      </c>
      <c r="D18" s="148" t="s">
        <v>318</v>
      </c>
      <c r="E18" s="115" t="s">
        <v>281</v>
      </c>
      <c r="F18" s="134">
        <v>13000</v>
      </c>
      <c r="G18" s="134">
        <v>0</v>
      </c>
      <c r="H18" s="134">
        <f t="shared" si="2"/>
        <v>13000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13">
        <f t="shared" si="1"/>
        <v>13000</v>
      </c>
    </row>
    <row r="19" spans="1:14" s="1" customFormat="1" ht="32.1" customHeight="1" x14ac:dyDescent="0.2">
      <c r="A19" s="146">
        <v>9</v>
      </c>
      <c r="B19" s="114" t="s">
        <v>284</v>
      </c>
      <c r="C19" s="114" t="s">
        <v>665</v>
      </c>
      <c r="D19" s="148" t="s">
        <v>318</v>
      </c>
      <c r="E19" s="115" t="s">
        <v>281</v>
      </c>
      <c r="F19" s="134">
        <v>13000</v>
      </c>
      <c r="G19" s="134">
        <v>0</v>
      </c>
      <c r="H19" s="134">
        <f t="shared" si="2"/>
        <v>13000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13">
        <f t="shared" si="1"/>
        <v>13000</v>
      </c>
    </row>
    <row r="20" spans="1:14" s="1" customFormat="1" ht="32.1" customHeight="1" x14ac:dyDescent="0.2">
      <c r="A20" s="146">
        <v>10</v>
      </c>
      <c r="B20" s="114" t="s">
        <v>284</v>
      </c>
      <c r="C20" s="114" t="s">
        <v>665</v>
      </c>
      <c r="D20" s="148" t="s">
        <v>318</v>
      </c>
      <c r="E20" s="115" t="s">
        <v>281</v>
      </c>
      <c r="F20" s="134">
        <v>13000</v>
      </c>
      <c r="G20" s="134">
        <v>0</v>
      </c>
      <c r="H20" s="134">
        <f t="shared" si="2"/>
        <v>13000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13">
        <f t="shared" si="1"/>
        <v>13000</v>
      </c>
    </row>
    <row r="21" spans="1:14" s="1" customFormat="1" ht="32.1" customHeight="1" x14ac:dyDescent="0.2">
      <c r="A21" s="146">
        <v>11</v>
      </c>
      <c r="B21" s="114" t="s">
        <v>284</v>
      </c>
      <c r="C21" s="114" t="s">
        <v>665</v>
      </c>
      <c r="D21" s="148" t="s">
        <v>318</v>
      </c>
      <c r="E21" s="115" t="s">
        <v>281</v>
      </c>
      <c r="F21" s="134">
        <v>13000</v>
      </c>
      <c r="G21" s="134">
        <v>0</v>
      </c>
      <c r="H21" s="134">
        <f t="shared" si="2"/>
        <v>13000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13">
        <f t="shared" si="1"/>
        <v>13000</v>
      </c>
    </row>
    <row r="22" spans="1:14" s="1" customFormat="1" ht="32.1" customHeight="1" x14ac:dyDescent="0.2">
      <c r="A22" s="146">
        <v>12</v>
      </c>
      <c r="B22" s="114" t="s">
        <v>284</v>
      </c>
      <c r="C22" s="114" t="s">
        <v>325</v>
      </c>
      <c r="D22" s="148" t="s">
        <v>318</v>
      </c>
      <c r="E22" s="115" t="s">
        <v>281</v>
      </c>
      <c r="F22" s="134">
        <v>8500</v>
      </c>
      <c r="G22" s="134">
        <v>0</v>
      </c>
      <c r="H22" s="134">
        <f t="shared" si="2"/>
        <v>8500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13">
        <f t="shared" si="1"/>
        <v>8500</v>
      </c>
    </row>
    <row r="23" spans="1:14" s="16" customFormat="1" ht="32.1" customHeight="1" x14ac:dyDescent="0.2">
      <c r="A23" s="146">
        <v>13</v>
      </c>
      <c r="B23" s="114" t="s">
        <v>284</v>
      </c>
      <c r="C23" s="114" t="s">
        <v>621</v>
      </c>
      <c r="D23" s="148" t="s">
        <v>318</v>
      </c>
      <c r="E23" s="115" t="s">
        <v>281</v>
      </c>
      <c r="F23" s="134">
        <v>40000</v>
      </c>
      <c r="G23" s="134">
        <v>0</v>
      </c>
      <c r="H23" s="134">
        <f t="shared" si="2"/>
        <v>40000</v>
      </c>
      <c r="I23" s="134">
        <v>0</v>
      </c>
      <c r="J23" s="134">
        <v>797.25</v>
      </c>
      <c r="K23" s="134">
        <v>0</v>
      </c>
      <c r="L23" s="134">
        <v>0</v>
      </c>
      <c r="M23" s="134">
        <v>0</v>
      </c>
      <c r="N23" s="113">
        <f>+F23-J23</f>
        <v>39202.75</v>
      </c>
    </row>
    <row r="24" spans="1:14" s="1" customFormat="1" ht="32.1" customHeight="1" x14ac:dyDescent="0.2">
      <c r="A24" s="146">
        <v>14</v>
      </c>
      <c r="B24" s="122" t="s">
        <v>284</v>
      </c>
      <c r="C24" s="114" t="s">
        <v>325</v>
      </c>
      <c r="D24" s="148" t="s">
        <v>318</v>
      </c>
      <c r="E24" s="115" t="s">
        <v>281</v>
      </c>
      <c r="F24" s="134">
        <v>10500</v>
      </c>
      <c r="G24" s="134">
        <v>0</v>
      </c>
      <c r="H24" s="134">
        <f t="shared" si="2"/>
        <v>10500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13">
        <f t="shared" si="1"/>
        <v>10500</v>
      </c>
    </row>
    <row r="25" spans="1:14" s="1" customFormat="1" ht="32.1" customHeight="1" x14ac:dyDescent="0.2">
      <c r="A25" s="146">
        <v>15</v>
      </c>
      <c r="B25" s="122" t="s">
        <v>284</v>
      </c>
      <c r="C25" s="114" t="s">
        <v>325</v>
      </c>
      <c r="D25" s="148" t="s">
        <v>318</v>
      </c>
      <c r="E25" s="115" t="s">
        <v>281</v>
      </c>
      <c r="F25" s="134">
        <v>12000</v>
      </c>
      <c r="G25" s="134">
        <v>0</v>
      </c>
      <c r="H25" s="134">
        <f t="shared" si="2"/>
        <v>12000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13">
        <f t="shared" si="1"/>
        <v>12000</v>
      </c>
    </row>
    <row r="26" spans="1:14" s="1" customFormat="1" ht="32.1" customHeight="1" x14ac:dyDescent="0.2">
      <c r="A26" s="146">
        <v>16</v>
      </c>
      <c r="B26" s="122" t="s">
        <v>284</v>
      </c>
      <c r="C26" s="114" t="s">
        <v>325</v>
      </c>
      <c r="D26" s="148" t="s">
        <v>318</v>
      </c>
      <c r="E26" s="115" t="s">
        <v>281</v>
      </c>
      <c r="F26" s="134">
        <v>10500</v>
      </c>
      <c r="G26" s="134">
        <v>0</v>
      </c>
      <c r="H26" s="134">
        <f t="shared" si="2"/>
        <v>10500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13">
        <f t="shared" si="1"/>
        <v>10500</v>
      </c>
    </row>
    <row r="27" spans="1:14" s="1" customFormat="1" ht="32.1" customHeight="1" x14ac:dyDescent="0.2">
      <c r="A27" s="146">
        <v>17</v>
      </c>
      <c r="B27" s="114" t="s">
        <v>284</v>
      </c>
      <c r="C27" s="114" t="s">
        <v>325</v>
      </c>
      <c r="D27" s="148" t="s">
        <v>318</v>
      </c>
      <c r="E27" s="115" t="s">
        <v>281</v>
      </c>
      <c r="F27" s="134">
        <v>14000</v>
      </c>
      <c r="G27" s="134">
        <v>0</v>
      </c>
      <c r="H27" s="134">
        <f t="shared" si="2"/>
        <v>14000</v>
      </c>
      <c r="I27" s="134">
        <v>0</v>
      </c>
      <c r="J27" s="134">
        <v>0</v>
      </c>
      <c r="K27" s="134">
        <v>0</v>
      </c>
      <c r="L27" s="134">
        <v>0</v>
      </c>
      <c r="M27" s="134">
        <f t="shared" ref="M27:M28" si="3">SUM(I27:L27)</f>
        <v>0</v>
      </c>
      <c r="N27" s="113">
        <f t="shared" si="1"/>
        <v>14000</v>
      </c>
    </row>
    <row r="28" spans="1:14" s="1" customFormat="1" ht="32.1" customHeight="1" x14ac:dyDescent="0.2">
      <c r="A28" s="146">
        <v>18</v>
      </c>
      <c r="B28" s="122" t="s">
        <v>284</v>
      </c>
      <c r="C28" s="122" t="s">
        <v>325</v>
      </c>
      <c r="D28" s="108" t="s">
        <v>318</v>
      </c>
      <c r="E28" s="115" t="s">
        <v>19</v>
      </c>
      <c r="F28" s="134">
        <v>10500</v>
      </c>
      <c r="G28" s="111">
        <v>0</v>
      </c>
      <c r="H28" s="134">
        <f t="shared" si="2"/>
        <v>10500</v>
      </c>
      <c r="I28" s="134">
        <v>0</v>
      </c>
      <c r="J28" s="134">
        <v>0</v>
      </c>
      <c r="K28" s="111">
        <v>0</v>
      </c>
      <c r="L28" s="111">
        <v>0</v>
      </c>
      <c r="M28" s="111">
        <f t="shared" si="3"/>
        <v>0</v>
      </c>
      <c r="N28" s="113">
        <f t="shared" si="1"/>
        <v>10500</v>
      </c>
    </row>
    <row r="29" spans="1:14" s="1" customFormat="1" ht="32.1" customHeight="1" x14ac:dyDescent="0.2">
      <c r="A29" s="146">
        <v>19</v>
      </c>
      <c r="B29" s="122" t="s">
        <v>284</v>
      </c>
      <c r="C29" s="114" t="s">
        <v>325</v>
      </c>
      <c r="D29" s="148" t="s">
        <v>318</v>
      </c>
      <c r="E29" s="115" t="s">
        <v>281</v>
      </c>
      <c r="F29" s="134">
        <v>8500</v>
      </c>
      <c r="G29" s="134">
        <v>0</v>
      </c>
      <c r="H29" s="134">
        <f t="shared" si="2"/>
        <v>8500</v>
      </c>
      <c r="I29" s="134">
        <v>0</v>
      </c>
      <c r="J29" s="134">
        <v>0</v>
      </c>
      <c r="K29" s="134">
        <v>0</v>
      </c>
      <c r="L29" s="134">
        <v>0</v>
      </c>
      <c r="M29" s="134">
        <f t="shared" ref="M29" si="4">SUM(I29:L29)</f>
        <v>0</v>
      </c>
      <c r="N29" s="113">
        <f t="shared" si="1"/>
        <v>8500</v>
      </c>
    </row>
    <row r="30" spans="1:14" s="1" customFormat="1" ht="32.1" customHeight="1" x14ac:dyDescent="0.2">
      <c r="A30" s="146">
        <v>20</v>
      </c>
      <c r="B30" s="122" t="s">
        <v>284</v>
      </c>
      <c r="C30" s="114" t="s">
        <v>665</v>
      </c>
      <c r="D30" s="148" t="s">
        <v>318</v>
      </c>
      <c r="E30" s="115" t="s">
        <v>281</v>
      </c>
      <c r="F30" s="134">
        <v>13000</v>
      </c>
      <c r="G30" s="134">
        <v>0</v>
      </c>
      <c r="H30" s="134">
        <f t="shared" si="2"/>
        <v>13000</v>
      </c>
      <c r="I30" s="134">
        <v>0</v>
      </c>
      <c r="J30" s="134">
        <v>0</v>
      </c>
      <c r="K30" s="134">
        <v>0</v>
      </c>
      <c r="L30" s="134">
        <v>0</v>
      </c>
      <c r="M30" s="134">
        <f t="shared" ref="M30:M32" si="5">SUM(I30:L30)</f>
        <v>0</v>
      </c>
      <c r="N30" s="113">
        <f t="shared" ref="N30:N32" si="6">+H30-M30</f>
        <v>13000</v>
      </c>
    </row>
    <row r="31" spans="1:14" s="1" customFormat="1" ht="32.1" customHeight="1" x14ac:dyDescent="0.2">
      <c r="A31" s="146">
        <v>21</v>
      </c>
      <c r="B31" s="122" t="s">
        <v>284</v>
      </c>
      <c r="C31" s="114" t="s">
        <v>325</v>
      </c>
      <c r="D31" s="148" t="s">
        <v>318</v>
      </c>
      <c r="E31" s="115" t="s">
        <v>281</v>
      </c>
      <c r="F31" s="134">
        <v>12000</v>
      </c>
      <c r="G31" s="134">
        <v>0</v>
      </c>
      <c r="H31" s="134">
        <f t="shared" si="2"/>
        <v>12000</v>
      </c>
      <c r="I31" s="134">
        <v>0</v>
      </c>
      <c r="J31" s="134">
        <v>0</v>
      </c>
      <c r="K31" s="134">
        <v>0</v>
      </c>
      <c r="L31" s="134">
        <v>0</v>
      </c>
      <c r="M31" s="134">
        <f t="shared" si="5"/>
        <v>0</v>
      </c>
      <c r="N31" s="113">
        <f t="shared" si="6"/>
        <v>12000</v>
      </c>
    </row>
    <row r="32" spans="1:14" s="1" customFormat="1" ht="32.1" customHeight="1" x14ac:dyDescent="0.2">
      <c r="A32" s="146">
        <v>22</v>
      </c>
      <c r="B32" s="122" t="s">
        <v>284</v>
      </c>
      <c r="C32" s="114" t="s">
        <v>1015</v>
      </c>
      <c r="D32" s="148" t="s">
        <v>318</v>
      </c>
      <c r="E32" s="115" t="s">
        <v>281</v>
      </c>
      <c r="F32" s="134">
        <v>25000</v>
      </c>
      <c r="G32" s="134">
        <v>0</v>
      </c>
      <c r="H32" s="134">
        <f t="shared" si="2"/>
        <v>25000</v>
      </c>
      <c r="I32" s="134">
        <v>0</v>
      </c>
      <c r="J32" s="134">
        <v>0</v>
      </c>
      <c r="K32" s="134">
        <v>0</v>
      </c>
      <c r="L32" s="134">
        <v>0</v>
      </c>
      <c r="M32" s="134">
        <f t="shared" si="5"/>
        <v>0</v>
      </c>
      <c r="N32" s="113">
        <f t="shared" si="6"/>
        <v>25000</v>
      </c>
    </row>
    <row r="33" spans="1:14" s="7" customFormat="1" ht="36.75" customHeight="1" x14ac:dyDescent="0.2">
      <c r="A33" s="303" t="s">
        <v>455</v>
      </c>
      <c r="B33" s="305"/>
      <c r="C33" s="116">
        <v>22</v>
      </c>
      <c r="D33" s="151"/>
      <c r="E33" s="152"/>
      <c r="F33" s="153">
        <f t="shared" ref="F33:N33" si="7">SUM(F11:F32)</f>
        <v>307500</v>
      </c>
      <c r="G33" s="153">
        <f t="shared" si="7"/>
        <v>0</v>
      </c>
      <c r="H33" s="153">
        <f t="shared" si="7"/>
        <v>307500</v>
      </c>
      <c r="I33" s="153">
        <f t="shared" si="7"/>
        <v>0</v>
      </c>
      <c r="J33" s="153">
        <f t="shared" si="7"/>
        <v>797.25</v>
      </c>
      <c r="K33" s="153">
        <f t="shared" si="7"/>
        <v>0</v>
      </c>
      <c r="L33" s="153">
        <f t="shared" si="7"/>
        <v>0</v>
      </c>
      <c r="M33" s="153">
        <f t="shared" si="7"/>
        <v>0</v>
      </c>
      <c r="N33" s="153">
        <f t="shared" si="7"/>
        <v>306702.75</v>
      </c>
    </row>
    <row r="34" spans="1:14" s="7" customFormat="1" ht="36.75" customHeight="1" x14ac:dyDescent="0.2">
      <c r="A34" s="294" t="s">
        <v>482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6"/>
    </row>
    <row r="35" spans="1:14" s="1" customFormat="1" ht="32.1" customHeight="1" x14ac:dyDescent="0.2">
      <c r="A35" s="146">
        <v>23</v>
      </c>
      <c r="B35" s="114" t="s">
        <v>286</v>
      </c>
      <c r="C35" s="114" t="s">
        <v>665</v>
      </c>
      <c r="D35" s="148" t="s">
        <v>318</v>
      </c>
      <c r="E35" s="115" t="s">
        <v>281</v>
      </c>
      <c r="F35" s="134">
        <v>13000</v>
      </c>
      <c r="G35" s="134">
        <v>0</v>
      </c>
      <c r="H35" s="134">
        <f t="shared" ref="H35:H48" si="8">SUM(F35:G35)</f>
        <v>13000</v>
      </c>
      <c r="I35" s="134">
        <v>0</v>
      </c>
      <c r="J35" s="134">
        <v>0</v>
      </c>
      <c r="K35" s="134">
        <v>0</v>
      </c>
      <c r="L35" s="134">
        <v>0</v>
      </c>
      <c r="M35" s="134">
        <f t="shared" ref="M35" si="9">SUM(I35:L35)</f>
        <v>0</v>
      </c>
      <c r="N35" s="113">
        <f t="shared" ref="N35" si="10">+H35-M35</f>
        <v>13000</v>
      </c>
    </row>
    <row r="36" spans="1:14" s="1" customFormat="1" ht="32.1" customHeight="1" x14ac:dyDescent="0.2">
      <c r="A36" s="146">
        <v>24</v>
      </c>
      <c r="B36" s="114" t="s">
        <v>286</v>
      </c>
      <c r="C36" s="114" t="s">
        <v>325</v>
      </c>
      <c r="D36" s="148" t="s">
        <v>318</v>
      </c>
      <c r="E36" s="115" t="s">
        <v>281</v>
      </c>
      <c r="F36" s="134">
        <v>13000</v>
      </c>
      <c r="G36" s="134">
        <v>0</v>
      </c>
      <c r="H36" s="134">
        <f t="shared" si="8"/>
        <v>13000</v>
      </c>
      <c r="I36" s="134">
        <v>0</v>
      </c>
      <c r="J36" s="134">
        <v>0</v>
      </c>
      <c r="K36" s="134">
        <v>0</v>
      </c>
      <c r="L36" s="134">
        <v>0</v>
      </c>
      <c r="M36" s="134">
        <f t="shared" ref="M36:M40" si="11">SUM(I36:L36)</f>
        <v>0</v>
      </c>
      <c r="N36" s="113">
        <f t="shared" ref="N36:N40" si="12">+H36-M36</f>
        <v>13000</v>
      </c>
    </row>
    <row r="37" spans="1:14" s="1" customFormat="1" ht="32.1" customHeight="1" x14ac:dyDescent="0.2">
      <c r="A37" s="146">
        <v>25</v>
      </c>
      <c r="B37" s="122" t="s">
        <v>286</v>
      </c>
      <c r="C37" s="122" t="s">
        <v>665</v>
      </c>
      <c r="D37" s="108" t="s">
        <v>318</v>
      </c>
      <c r="E37" s="108" t="s">
        <v>281</v>
      </c>
      <c r="F37" s="134">
        <v>13000</v>
      </c>
      <c r="G37" s="134">
        <v>0</v>
      </c>
      <c r="H37" s="134">
        <f t="shared" si="8"/>
        <v>13000</v>
      </c>
      <c r="I37" s="134">
        <v>0</v>
      </c>
      <c r="J37" s="134">
        <v>0</v>
      </c>
      <c r="K37" s="134">
        <v>0</v>
      </c>
      <c r="L37" s="134">
        <v>0</v>
      </c>
      <c r="M37" s="134">
        <f t="shared" ref="M37" si="13">SUM(I37:L37)</f>
        <v>0</v>
      </c>
      <c r="N37" s="113">
        <f t="shared" ref="N37" si="14">+H37-M37</f>
        <v>13000</v>
      </c>
    </row>
    <row r="38" spans="1:14" s="1" customFormat="1" ht="32.1" customHeight="1" x14ac:dyDescent="0.2">
      <c r="A38" s="146">
        <v>26</v>
      </c>
      <c r="B38" s="122" t="s">
        <v>286</v>
      </c>
      <c r="C38" s="122" t="s">
        <v>665</v>
      </c>
      <c r="D38" s="108" t="s">
        <v>318</v>
      </c>
      <c r="E38" s="108" t="s">
        <v>281</v>
      </c>
      <c r="F38" s="134">
        <v>10500</v>
      </c>
      <c r="G38" s="134">
        <v>0</v>
      </c>
      <c r="H38" s="134">
        <f t="shared" si="8"/>
        <v>10500</v>
      </c>
      <c r="I38" s="134">
        <v>0</v>
      </c>
      <c r="J38" s="134">
        <v>0</v>
      </c>
      <c r="K38" s="134">
        <v>0</v>
      </c>
      <c r="L38" s="134">
        <v>0</v>
      </c>
      <c r="M38" s="134">
        <f t="shared" ref="M38:M39" si="15">SUM(I38:L38)</f>
        <v>0</v>
      </c>
      <c r="N38" s="113">
        <f t="shared" ref="N38:N39" si="16">+H38-M38</f>
        <v>10500</v>
      </c>
    </row>
    <row r="39" spans="1:14" s="1" customFormat="1" ht="32.1" customHeight="1" x14ac:dyDescent="0.2">
      <c r="A39" s="146">
        <v>27</v>
      </c>
      <c r="B39" s="122" t="s">
        <v>286</v>
      </c>
      <c r="C39" s="114" t="s">
        <v>665</v>
      </c>
      <c r="D39" s="148" t="s">
        <v>318</v>
      </c>
      <c r="E39" s="115" t="s">
        <v>281</v>
      </c>
      <c r="F39" s="134">
        <v>8500</v>
      </c>
      <c r="G39" s="134">
        <v>0</v>
      </c>
      <c r="H39" s="134">
        <f t="shared" si="8"/>
        <v>8500</v>
      </c>
      <c r="I39" s="134">
        <v>0</v>
      </c>
      <c r="J39" s="134">
        <v>0</v>
      </c>
      <c r="K39" s="134">
        <v>0</v>
      </c>
      <c r="L39" s="134">
        <v>0</v>
      </c>
      <c r="M39" s="134">
        <f t="shared" si="15"/>
        <v>0</v>
      </c>
      <c r="N39" s="113">
        <f t="shared" si="16"/>
        <v>8500</v>
      </c>
    </row>
    <row r="40" spans="1:14" s="1" customFormat="1" ht="32.1" customHeight="1" x14ac:dyDescent="0.2">
      <c r="A40" s="146">
        <v>28</v>
      </c>
      <c r="B40" s="122" t="s">
        <v>286</v>
      </c>
      <c r="C40" s="122" t="s">
        <v>325</v>
      </c>
      <c r="D40" s="148" t="s">
        <v>318</v>
      </c>
      <c r="E40" s="108" t="s">
        <v>281</v>
      </c>
      <c r="F40" s="111">
        <v>8500</v>
      </c>
      <c r="G40" s="134">
        <v>0</v>
      </c>
      <c r="H40" s="134">
        <f t="shared" si="8"/>
        <v>8500</v>
      </c>
      <c r="I40" s="111">
        <v>0</v>
      </c>
      <c r="J40" s="111">
        <v>0</v>
      </c>
      <c r="K40" s="111">
        <v>0</v>
      </c>
      <c r="L40" s="111">
        <v>0</v>
      </c>
      <c r="M40" s="111">
        <f t="shared" si="11"/>
        <v>0</v>
      </c>
      <c r="N40" s="113">
        <f t="shared" si="12"/>
        <v>8500</v>
      </c>
    </row>
    <row r="41" spans="1:14" s="1" customFormat="1" ht="32.1" customHeight="1" x14ac:dyDescent="0.2">
      <c r="A41" s="146">
        <v>29</v>
      </c>
      <c r="B41" s="122" t="s">
        <v>286</v>
      </c>
      <c r="C41" s="122" t="s">
        <v>325</v>
      </c>
      <c r="D41" s="108" t="s">
        <v>318</v>
      </c>
      <c r="E41" s="148" t="s">
        <v>281</v>
      </c>
      <c r="F41" s="149">
        <v>10500</v>
      </c>
      <c r="G41" s="134">
        <v>0</v>
      </c>
      <c r="H41" s="134">
        <f t="shared" si="8"/>
        <v>10500</v>
      </c>
      <c r="I41" s="111">
        <v>0</v>
      </c>
      <c r="J41" s="111">
        <v>0</v>
      </c>
      <c r="K41" s="111">
        <v>0</v>
      </c>
      <c r="L41" s="111">
        <v>0</v>
      </c>
      <c r="M41" s="111">
        <f>SUM(I41:L41)</f>
        <v>0</v>
      </c>
      <c r="N41" s="113">
        <f>+H41-M41</f>
        <v>10500</v>
      </c>
    </row>
    <row r="42" spans="1:14" s="1" customFormat="1" ht="32.1" customHeight="1" x14ac:dyDescent="0.2">
      <c r="A42" s="146">
        <v>30</v>
      </c>
      <c r="B42" s="122" t="s">
        <v>286</v>
      </c>
      <c r="C42" s="122" t="s">
        <v>325</v>
      </c>
      <c r="D42" s="108" t="s">
        <v>318</v>
      </c>
      <c r="E42" s="108" t="s">
        <v>281</v>
      </c>
      <c r="F42" s="111">
        <v>8500</v>
      </c>
      <c r="G42" s="134">
        <v>0</v>
      </c>
      <c r="H42" s="134">
        <f t="shared" si="8"/>
        <v>8500</v>
      </c>
      <c r="I42" s="111">
        <v>0</v>
      </c>
      <c r="J42" s="111">
        <v>0</v>
      </c>
      <c r="K42" s="111">
        <v>0</v>
      </c>
      <c r="L42" s="111">
        <v>0</v>
      </c>
      <c r="M42" s="111">
        <f>SUM(I42:L42)</f>
        <v>0</v>
      </c>
      <c r="N42" s="113">
        <f>+H42-M42</f>
        <v>8500</v>
      </c>
    </row>
    <row r="43" spans="1:14" s="1" customFormat="1" ht="32.1" customHeight="1" x14ac:dyDescent="0.2">
      <c r="A43" s="146">
        <v>31</v>
      </c>
      <c r="B43" s="122" t="s">
        <v>286</v>
      </c>
      <c r="C43" s="122" t="s">
        <v>325</v>
      </c>
      <c r="D43" s="108" t="s">
        <v>318</v>
      </c>
      <c r="E43" s="115" t="s">
        <v>19</v>
      </c>
      <c r="F43" s="134">
        <v>14000</v>
      </c>
      <c r="G43" s="134">
        <v>0</v>
      </c>
      <c r="H43" s="134">
        <f t="shared" si="8"/>
        <v>14000</v>
      </c>
      <c r="I43" s="134">
        <v>0</v>
      </c>
      <c r="J43" s="134">
        <v>0</v>
      </c>
      <c r="K43" s="134">
        <v>0</v>
      </c>
      <c r="L43" s="134">
        <v>0</v>
      </c>
      <c r="M43" s="134">
        <f t="shared" ref="M43" si="17">SUM(I43:L43)</f>
        <v>0</v>
      </c>
      <c r="N43" s="113">
        <f t="shared" ref="N43" si="18">+H43-M43</f>
        <v>14000</v>
      </c>
    </row>
    <row r="44" spans="1:14" s="1" customFormat="1" ht="32.1" customHeight="1" x14ac:dyDescent="0.2">
      <c r="A44" s="146">
        <v>32</v>
      </c>
      <c r="B44" s="122" t="s">
        <v>286</v>
      </c>
      <c r="C44" s="122" t="s">
        <v>325</v>
      </c>
      <c r="D44" s="108" t="s">
        <v>318</v>
      </c>
      <c r="E44" s="115" t="s">
        <v>281</v>
      </c>
      <c r="F44" s="134">
        <v>8500</v>
      </c>
      <c r="G44" s="134">
        <v>0</v>
      </c>
      <c r="H44" s="134">
        <f t="shared" si="8"/>
        <v>8500</v>
      </c>
      <c r="I44" s="134">
        <v>0</v>
      </c>
      <c r="J44" s="134">
        <v>0</v>
      </c>
      <c r="K44" s="134">
        <v>0</v>
      </c>
      <c r="L44" s="134">
        <v>0</v>
      </c>
      <c r="M44" s="134">
        <f t="shared" ref="M44:M47" si="19">SUM(I44:L44)</f>
        <v>0</v>
      </c>
      <c r="N44" s="113">
        <f t="shared" ref="N44:N47" si="20">+H44-M44</f>
        <v>8500</v>
      </c>
    </row>
    <row r="45" spans="1:14" s="1" customFormat="1" ht="32.1" customHeight="1" x14ac:dyDescent="0.2">
      <c r="A45" s="146">
        <v>33</v>
      </c>
      <c r="B45" s="122" t="s">
        <v>286</v>
      </c>
      <c r="C45" s="122" t="s">
        <v>621</v>
      </c>
      <c r="D45" s="108" t="s">
        <v>318</v>
      </c>
      <c r="E45" s="115" t="s">
        <v>281</v>
      </c>
      <c r="F45" s="134">
        <v>30000</v>
      </c>
      <c r="G45" s="134">
        <v>0</v>
      </c>
      <c r="H45" s="134">
        <f t="shared" si="8"/>
        <v>30000</v>
      </c>
      <c r="I45" s="134">
        <v>0</v>
      </c>
      <c r="J45" s="134">
        <v>0</v>
      </c>
      <c r="K45" s="134">
        <v>0</v>
      </c>
      <c r="L45" s="134">
        <v>0</v>
      </c>
      <c r="M45" s="134">
        <f t="shared" si="19"/>
        <v>0</v>
      </c>
      <c r="N45" s="113">
        <f t="shared" si="20"/>
        <v>30000</v>
      </c>
    </row>
    <row r="46" spans="1:14" s="1" customFormat="1" ht="32.1" customHeight="1" x14ac:dyDescent="0.2">
      <c r="A46" s="146">
        <v>34</v>
      </c>
      <c r="B46" s="99" t="s">
        <v>286</v>
      </c>
      <c r="C46" s="220" t="s">
        <v>325</v>
      </c>
      <c r="D46" s="100" t="s">
        <v>318</v>
      </c>
      <c r="E46" s="100" t="s">
        <v>281</v>
      </c>
      <c r="F46" s="103">
        <v>13000</v>
      </c>
      <c r="G46" s="103">
        <v>0</v>
      </c>
      <c r="H46" s="103">
        <f t="shared" ref="H46" si="21">+F46+G46</f>
        <v>13000</v>
      </c>
      <c r="I46" s="103">
        <v>0</v>
      </c>
      <c r="J46" s="103">
        <v>0</v>
      </c>
      <c r="K46" s="103">
        <v>0</v>
      </c>
      <c r="L46" s="103">
        <v>0</v>
      </c>
      <c r="M46" s="103">
        <f t="shared" si="19"/>
        <v>0</v>
      </c>
      <c r="N46" s="103">
        <f t="shared" ref="N46" si="22">+F46-M46</f>
        <v>13000</v>
      </c>
    </row>
    <row r="47" spans="1:14" s="1" customFormat="1" ht="32.1" customHeight="1" x14ac:dyDescent="0.2">
      <c r="A47" s="146">
        <v>35</v>
      </c>
      <c r="B47" s="122" t="s">
        <v>286</v>
      </c>
      <c r="C47" s="122" t="s">
        <v>325</v>
      </c>
      <c r="D47" s="108" t="s">
        <v>318</v>
      </c>
      <c r="E47" s="115" t="s">
        <v>281</v>
      </c>
      <c r="F47" s="111">
        <v>12000</v>
      </c>
      <c r="G47" s="134">
        <v>0</v>
      </c>
      <c r="H47" s="134">
        <f t="shared" si="8"/>
        <v>12000</v>
      </c>
      <c r="I47" s="134">
        <v>0</v>
      </c>
      <c r="J47" s="134">
        <v>0</v>
      </c>
      <c r="K47" s="134">
        <v>0</v>
      </c>
      <c r="L47" s="134">
        <v>0</v>
      </c>
      <c r="M47" s="134">
        <f t="shared" si="19"/>
        <v>0</v>
      </c>
      <c r="N47" s="113">
        <f t="shared" si="20"/>
        <v>12000</v>
      </c>
    </row>
    <row r="48" spans="1:14" s="1" customFormat="1" ht="32.1" customHeight="1" x14ac:dyDescent="0.2">
      <c r="A48" s="146">
        <v>36</v>
      </c>
      <c r="B48" s="99" t="s">
        <v>286</v>
      </c>
      <c r="C48" s="122" t="s">
        <v>325</v>
      </c>
      <c r="D48" s="108" t="s">
        <v>318</v>
      </c>
      <c r="E48" s="115" t="s">
        <v>281</v>
      </c>
      <c r="F48" s="134">
        <v>12000</v>
      </c>
      <c r="G48" s="134">
        <v>0</v>
      </c>
      <c r="H48" s="134">
        <f t="shared" si="8"/>
        <v>12000</v>
      </c>
      <c r="I48" s="134">
        <v>0</v>
      </c>
      <c r="J48" s="134">
        <v>0</v>
      </c>
      <c r="K48" s="134">
        <v>0</v>
      </c>
      <c r="L48" s="134">
        <v>0</v>
      </c>
      <c r="M48" s="134">
        <f>SUM(I48:L48)</f>
        <v>0</v>
      </c>
      <c r="N48" s="135">
        <f>+H48-M48</f>
        <v>12000</v>
      </c>
    </row>
    <row r="49" spans="1:14" s="7" customFormat="1" ht="36.75" customHeight="1" x14ac:dyDescent="0.2">
      <c r="A49" s="303" t="s">
        <v>455</v>
      </c>
      <c r="B49" s="305"/>
      <c r="C49" s="116">
        <v>14</v>
      </c>
      <c r="D49" s="151"/>
      <c r="E49" s="152"/>
      <c r="F49" s="153">
        <f t="shared" ref="F49:N49" si="23">SUM(F35:F48)</f>
        <v>175000</v>
      </c>
      <c r="G49" s="153">
        <f t="shared" si="23"/>
        <v>0</v>
      </c>
      <c r="H49" s="153">
        <f t="shared" si="23"/>
        <v>175000</v>
      </c>
      <c r="I49" s="153">
        <f t="shared" si="23"/>
        <v>0</v>
      </c>
      <c r="J49" s="153">
        <f t="shared" si="23"/>
        <v>0</v>
      </c>
      <c r="K49" s="153">
        <f t="shared" si="23"/>
        <v>0</v>
      </c>
      <c r="L49" s="153">
        <f t="shared" si="23"/>
        <v>0</v>
      </c>
      <c r="M49" s="153">
        <f t="shared" si="23"/>
        <v>0</v>
      </c>
      <c r="N49" s="153">
        <f t="shared" si="23"/>
        <v>175000</v>
      </c>
    </row>
    <row r="50" spans="1:14" s="7" customFormat="1" ht="36.75" customHeight="1" x14ac:dyDescent="0.2">
      <c r="A50" s="294" t="s">
        <v>463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6"/>
    </row>
    <row r="51" spans="1:14" s="16" customFormat="1" ht="32.1" customHeight="1" x14ac:dyDescent="0.2">
      <c r="A51" s="146">
        <v>37</v>
      </c>
      <c r="B51" s="122" t="s">
        <v>285</v>
      </c>
      <c r="C51" s="114" t="s">
        <v>665</v>
      </c>
      <c r="D51" s="148" t="s">
        <v>318</v>
      </c>
      <c r="E51" s="115" t="s">
        <v>281</v>
      </c>
      <c r="F51" s="134">
        <v>25000</v>
      </c>
      <c r="G51" s="134">
        <v>0</v>
      </c>
      <c r="H51" s="134">
        <f t="shared" ref="H51" si="24">SUM(F51:G51)</f>
        <v>25000</v>
      </c>
      <c r="I51" s="134">
        <v>0</v>
      </c>
      <c r="J51" s="134">
        <v>0</v>
      </c>
      <c r="K51" s="134">
        <v>0</v>
      </c>
      <c r="L51" s="134">
        <v>0</v>
      </c>
      <c r="M51" s="134">
        <f t="shared" ref="M51" si="25">SUM(I51:L51)</f>
        <v>0</v>
      </c>
      <c r="N51" s="113">
        <f t="shared" ref="N51" si="26">+H51-M51</f>
        <v>25000</v>
      </c>
    </row>
    <row r="52" spans="1:14" s="16" customFormat="1" ht="32.1" customHeight="1" x14ac:dyDescent="0.2">
      <c r="A52" s="146">
        <v>38</v>
      </c>
      <c r="B52" s="122" t="s">
        <v>285</v>
      </c>
      <c r="C52" s="114" t="s">
        <v>665</v>
      </c>
      <c r="D52" s="148" t="s">
        <v>318</v>
      </c>
      <c r="E52" s="115" t="s">
        <v>281</v>
      </c>
      <c r="F52" s="134">
        <v>13000</v>
      </c>
      <c r="G52" s="134">
        <v>0</v>
      </c>
      <c r="H52" s="134">
        <f t="shared" ref="H52:H65" si="27">SUM(F52:G52)</f>
        <v>13000</v>
      </c>
      <c r="I52" s="134">
        <v>0</v>
      </c>
      <c r="J52" s="134">
        <v>0</v>
      </c>
      <c r="K52" s="134">
        <v>0</v>
      </c>
      <c r="L52" s="134">
        <v>0</v>
      </c>
      <c r="M52" s="134">
        <f t="shared" ref="M52:M65" si="28">SUM(I52:L52)</f>
        <v>0</v>
      </c>
      <c r="N52" s="113">
        <f t="shared" ref="N52:N65" si="29">+H52-M52</f>
        <v>13000</v>
      </c>
    </row>
    <row r="53" spans="1:14" s="16" customFormat="1" ht="32.1" customHeight="1" x14ac:dyDescent="0.2">
      <c r="A53" s="146">
        <v>39</v>
      </c>
      <c r="B53" s="122" t="s">
        <v>285</v>
      </c>
      <c r="C53" s="114" t="s">
        <v>665</v>
      </c>
      <c r="D53" s="148" t="s">
        <v>318</v>
      </c>
      <c r="E53" s="115" t="s">
        <v>281</v>
      </c>
      <c r="F53" s="134">
        <v>13000</v>
      </c>
      <c r="G53" s="134">
        <v>0</v>
      </c>
      <c r="H53" s="134">
        <f t="shared" si="27"/>
        <v>13000</v>
      </c>
      <c r="I53" s="134">
        <v>0</v>
      </c>
      <c r="J53" s="134">
        <v>0</v>
      </c>
      <c r="K53" s="134">
        <v>0</v>
      </c>
      <c r="L53" s="134">
        <v>0</v>
      </c>
      <c r="M53" s="134">
        <f t="shared" si="28"/>
        <v>0</v>
      </c>
      <c r="N53" s="113">
        <f t="shared" si="29"/>
        <v>13000</v>
      </c>
    </row>
    <row r="54" spans="1:14" s="16" customFormat="1" ht="32.1" customHeight="1" x14ac:dyDescent="0.2">
      <c r="A54" s="146">
        <v>40</v>
      </c>
      <c r="B54" s="122" t="s">
        <v>285</v>
      </c>
      <c r="C54" s="114" t="s">
        <v>665</v>
      </c>
      <c r="D54" s="148" t="s">
        <v>318</v>
      </c>
      <c r="E54" s="115" t="s">
        <v>281</v>
      </c>
      <c r="F54" s="134">
        <v>13000</v>
      </c>
      <c r="G54" s="134">
        <v>0</v>
      </c>
      <c r="H54" s="134">
        <f t="shared" si="27"/>
        <v>13000</v>
      </c>
      <c r="I54" s="134">
        <v>0</v>
      </c>
      <c r="J54" s="134">
        <v>0</v>
      </c>
      <c r="K54" s="134">
        <v>0</v>
      </c>
      <c r="L54" s="134">
        <v>0</v>
      </c>
      <c r="M54" s="134">
        <f t="shared" si="28"/>
        <v>0</v>
      </c>
      <c r="N54" s="113">
        <f t="shared" si="29"/>
        <v>13000</v>
      </c>
    </row>
    <row r="55" spans="1:14" s="16" customFormat="1" ht="32.1" customHeight="1" x14ac:dyDescent="0.2">
      <c r="A55" s="146">
        <v>41</v>
      </c>
      <c r="B55" s="122" t="s">
        <v>285</v>
      </c>
      <c r="C55" s="114" t="s">
        <v>665</v>
      </c>
      <c r="D55" s="148" t="s">
        <v>318</v>
      </c>
      <c r="E55" s="115" t="s">
        <v>281</v>
      </c>
      <c r="F55" s="134">
        <v>13000</v>
      </c>
      <c r="G55" s="134">
        <v>0</v>
      </c>
      <c r="H55" s="134">
        <f t="shared" si="27"/>
        <v>13000</v>
      </c>
      <c r="I55" s="134">
        <v>0</v>
      </c>
      <c r="J55" s="134">
        <v>0</v>
      </c>
      <c r="K55" s="134">
        <v>0</v>
      </c>
      <c r="L55" s="134">
        <v>0</v>
      </c>
      <c r="M55" s="134">
        <f t="shared" si="28"/>
        <v>0</v>
      </c>
      <c r="N55" s="113">
        <f t="shared" si="29"/>
        <v>13000</v>
      </c>
    </row>
    <row r="56" spans="1:14" s="16" customFormat="1" ht="32.1" customHeight="1" x14ac:dyDescent="0.2">
      <c r="A56" s="146">
        <v>42</v>
      </c>
      <c r="B56" s="122" t="s">
        <v>285</v>
      </c>
      <c r="C56" s="114" t="s">
        <v>665</v>
      </c>
      <c r="D56" s="148" t="s">
        <v>318</v>
      </c>
      <c r="E56" s="115" t="s">
        <v>19</v>
      </c>
      <c r="F56" s="134">
        <v>13000</v>
      </c>
      <c r="G56" s="134">
        <v>0</v>
      </c>
      <c r="H56" s="134">
        <f t="shared" si="27"/>
        <v>13000</v>
      </c>
      <c r="I56" s="134">
        <v>0</v>
      </c>
      <c r="J56" s="134">
        <v>0</v>
      </c>
      <c r="K56" s="134">
        <v>0</v>
      </c>
      <c r="L56" s="134">
        <v>0</v>
      </c>
      <c r="M56" s="134">
        <f t="shared" si="28"/>
        <v>0</v>
      </c>
      <c r="N56" s="113">
        <f t="shared" si="29"/>
        <v>13000</v>
      </c>
    </row>
    <row r="57" spans="1:14" s="1" customFormat="1" ht="32.1" customHeight="1" x14ac:dyDescent="0.2">
      <c r="A57" s="146">
        <v>43</v>
      </c>
      <c r="B57" s="122" t="s">
        <v>285</v>
      </c>
      <c r="C57" s="114" t="s">
        <v>325</v>
      </c>
      <c r="D57" s="148" t="s">
        <v>318</v>
      </c>
      <c r="E57" s="115" t="s">
        <v>281</v>
      </c>
      <c r="F57" s="134">
        <v>13000</v>
      </c>
      <c r="G57" s="134">
        <v>0</v>
      </c>
      <c r="H57" s="134">
        <f t="shared" si="27"/>
        <v>13000</v>
      </c>
      <c r="I57" s="134">
        <v>0</v>
      </c>
      <c r="J57" s="134">
        <v>0</v>
      </c>
      <c r="K57" s="134">
        <v>0</v>
      </c>
      <c r="L57" s="134">
        <v>0</v>
      </c>
      <c r="M57" s="134">
        <f t="shared" si="28"/>
        <v>0</v>
      </c>
      <c r="N57" s="113">
        <f t="shared" si="29"/>
        <v>13000</v>
      </c>
    </row>
    <row r="58" spans="1:14" s="1" customFormat="1" ht="32.1" customHeight="1" x14ac:dyDescent="0.2">
      <c r="A58" s="146">
        <v>44</v>
      </c>
      <c r="B58" s="122" t="s">
        <v>285</v>
      </c>
      <c r="C58" s="122" t="s">
        <v>325</v>
      </c>
      <c r="D58" s="148" t="s">
        <v>318</v>
      </c>
      <c r="E58" s="115" t="s">
        <v>281</v>
      </c>
      <c r="F58" s="134">
        <v>13000</v>
      </c>
      <c r="G58" s="134">
        <v>0</v>
      </c>
      <c r="H58" s="134">
        <f t="shared" si="27"/>
        <v>13000</v>
      </c>
      <c r="I58" s="134">
        <v>0</v>
      </c>
      <c r="J58" s="134">
        <v>0</v>
      </c>
      <c r="K58" s="134">
        <v>0</v>
      </c>
      <c r="L58" s="134">
        <v>0</v>
      </c>
      <c r="M58" s="134">
        <f t="shared" si="28"/>
        <v>0</v>
      </c>
      <c r="N58" s="113">
        <f t="shared" si="29"/>
        <v>13000</v>
      </c>
    </row>
    <row r="59" spans="1:14" s="16" customFormat="1" ht="32.1" customHeight="1" x14ac:dyDescent="0.2">
      <c r="A59" s="146">
        <v>45</v>
      </c>
      <c r="B59" s="122" t="s">
        <v>285</v>
      </c>
      <c r="C59" s="114" t="s">
        <v>325</v>
      </c>
      <c r="D59" s="148" t="s">
        <v>318</v>
      </c>
      <c r="E59" s="115" t="s">
        <v>281</v>
      </c>
      <c r="F59" s="134">
        <v>20000</v>
      </c>
      <c r="G59" s="134">
        <v>0</v>
      </c>
      <c r="H59" s="134">
        <f t="shared" si="27"/>
        <v>20000</v>
      </c>
      <c r="I59" s="134">
        <v>0</v>
      </c>
      <c r="J59" s="134">
        <v>0</v>
      </c>
      <c r="K59" s="134">
        <v>0</v>
      </c>
      <c r="L59" s="134">
        <v>0</v>
      </c>
      <c r="M59" s="134">
        <f t="shared" si="28"/>
        <v>0</v>
      </c>
      <c r="N59" s="113">
        <f t="shared" si="29"/>
        <v>20000</v>
      </c>
    </row>
    <row r="60" spans="1:14" s="1" customFormat="1" ht="32.1" customHeight="1" x14ac:dyDescent="0.2">
      <c r="A60" s="146">
        <v>46</v>
      </c>
      <c r="B60" s="122" t="s">
        <v>285</v>
      </c>
      <c r="C60" s="114" t="s">
        <v>325</v>
      </c>
      <c r="D60" s="148" t="s">
        <v>318</v>
      </c>
      <c r="E60" s="115" t="s">
        <v>281</v>
      </c>
      <c r="F60" s="134">
        <v>13000</v>
      </c>
      <c r="G60" s="134">
        <v>0</v>
      </c>
      <c r="H60" s="134">
        <f t="shared" si="27"/>
        <v>13000</v>
      </c>
      <c r="I60" s="134">
        <v>0</v>
      </c>
      <c r="J60" s="134">
        <v>0</v>
      </c>
      <c r="K60" s="134">
        <v>0</v>
      </c>
      <c r="L60" s="134">
        <v>0</v>
      </c>
      <c r="M60" s="134">
        <f t="shared" si="28"/>
        <v>0</v>
      </c>
      <c r="N60" s="113">
        <f t="shared" si="29"/>
        <v>13000</v>
      </c>
    </row>
    <row r="61" spans="1:14" s="16" customFormat="1" ht="32.1" customHeight="1" x14ac:dyDescent="0.2">
      <c r="A61" s="146">
        <v>47</v>
      </c>
      <c r="B61" s="122" t="s">
        <v>285</v>
      </c>
      <c r="C61" s="114" t="s">
        <v>621</v>
      </c>
      <c r="D61" s="148" t="s">
        <v>318</v>
      </c>
      <c r="E61" s="115" t="s">
        <v>281</v>
      </c>
      <c r="F61" s="134">
        <v>40000</v>
      </c>
      <c r="G61" s="134">
        <v>0</v>
      </c>
      <c r="H61" s="134">
        <f t="shared" si="27"/>
        <v>40000</v>
      </c>
      <c r="I61" s="134">
        <v>0</v>
      </c>
      <c r="J61" s="134">
        <v>797.25</v>
      </c>
      <c r="K61" s="134">
        <v>0</v>
      </c>
      <c r="L61" s="134">
        <v>0</v>
      </c>
      <c r="M61" s="134">
        <f t="shared" si="28"/>
        <v>797.25</v>
      </c>
      <c r="N61" s="113">
        <f t="shared" si="29"/>
        <v>39202.75</v>
      </c>
    </row>
    <row r="62" spans="1:14" s="16" customFormat="1" ht="32.1" customHeight="1" x14ac:dyDescent="0.2">
      <c r="A62" s="146">
        <v>48</v>
      </c>
      <c r="B62" s="122" t="s">
        <v>285</v>
      </c>
      <c r="C62" s="114" t="s">
        <v>325</v>
      </c>
      <c r="D62" s="148" t="s">
        <v>318</v>
      </c>
      <c r="E62" s="115" t="s">
        <v>281</v>
      </c>
      <c r="F62" s="134">
        <v>13000</v>
      </c>
      <c r="G62" s="134">
        <v>0</v>
      </c>
      <c r="H62" s="134">
        <f t="shared" si="27"/>
        <v>13000</v>
      </c>
      <c r="I62" s="134">
        <v>0</v>
      </c>
      <c r="J62" s="134">
        <v>0</v>
      </c>
      <c r="K62" s="134">
        <v>0</v>
      </c>
      <c r="L62" s="134">
        <v>0</v>
      </c>
      <c r="M62" s="134">
        <f t="shared" si="28"/>
        <v>0</v>
      </c>
      <c r="N62" s="113">
        <f t="shared" si="29"/>
        <v>13000</v>
      </c>
    </row>
    <row r="63" spans="1:14" s="16" customFormat="1" ht="32.1" customHeight="1" x14ac:dyDescent="0.2">
      <c r="A63" s="146">
        <v>49</v>
      </c>
      <c r="B63" s="122" t="s">
        <v>285</v>
      </c>
      <c r="C63" s="114" t="s">
        <v>665</v>
      </c>
      <c r="D63" s="148" t="s">
        <v>318</v>
      </c>
      <c r="E63" s="115" t="s">
        <v>281</v>
      </c>
      <c r="F63" s="134">
        <v>13000</v>
      </c>
      <c r="G63" s="134">
        <v>0</v>
      </c>
      <c r="H63" s="134">
        <f t="shared" ref="H63:H64" si="30">SUM(F63:G63)</f>
        <v>13000</v>
      </c>
      <c r="I63" s="134">
        <v>0</v>
      </c>
      <c r="J63" s="134">
        <v>0</v>
      </c>
      <c r="K63" s="134">
        <v>0</v>
      </c>
      <c r="L63" s="134">
        <v>0</v>
      </c>
      <c r="M63" s="134">
        <f t="shared" ref="M63:M64" si="31">SUM(I63:L63)</f>
        <v>0</v>
      </c>
      <c r="N63" s="113">
        <f t="shared" ref="N63:N64" si="32">+H63-M63</f>
        <v>13000</v>
      </c>
    </row>
    <row r="64" spans="1:14" s="16" customFormat="1" ht="32.1" customHeight="1" x14ac:dyDescent="0.2">
      <c r="A64" s="146">
        <v>50</v>
      </c>
      <c r="B64" s="122" t="s">
        <v>285</v>
      </c>
      <c r="C64" s="114" t="s">
        <v>665</v>
      </c>
      <c r="D64" s="148" t="s">
        <v>318</v>
      </c>
      <c r="E64" s="115" t="s">
        <v>281</v>
      </c>
      <c r="F64" s="134">
        <v>13000</v>
      </c>
      <c r="G64" s="134">
        <v>0</v>
      </c>
      <c r="H64" s="134">
        <f t="shared" si="30"/>
        <v>13000</v>
      </c>
      <c r="I64" s="134">
        <v>0</v>
      </c>
      <c r="J64" s="134">
        <v>0</v>
      </c>
      <c r="K64" s="134">
        <v>0</v>
      </c>
      <c r="L64" s="134">
        <v>0</v>
      </c>
      <c r="M64" s="134">
        <f t="shared" si="31"/>
        <v>0</v>
      </c>
      <c r="N64" s="113">
        <f t="shared" si="32"/>
        <v>13000</v>
      </c>
    </row>
    <row r="65" spans="1:14" s="1" customFormat="1" ht="32.1" customHeight="1" x14ac:dyDescent="0.2">
      <c r="A65" s="146">
        <v>51</v>
      </c>
      <c r="B65" s="122" t="s">
        <v>285</v>
      </c>
      <c r="C65" s="122" t="s">
        <v>325</v>
      </c>
      <c r="D65" s="148" t="s">
        <v>318</v>
      </c>
      <c r="E65" s="115" t="s">
        <v>281</v>
      </c>
      <c r="F65" s="134">
        <v>13000</v>
      </c>
      <c r="G65" s="134">
        <v>0</v>
      </c>
      <c r="H65" s="134">
        <f t="shared" si="27"/>
        <v>13000</v>
      </c>
      <c r="I65" s="134">
        <v>0</v>
      </c>
      <c r="J65" s="134">
        <v>0</v>
      </c>
      <c r="K65" s="134">
        <v>0</v>
      </c>
      <c r="L65" s="134">
        <v>0</v>
      </c>
      <c r="M65" s="134">
        <f t="shared" si="28"/>
        <v>0</v>
      </c>
      <c r="N65" s="113">
        <f t="shared" si="29"/>
        <v>13000</v>
      </c>
    </row>
    <row r="66" spans="1:14" s="7" customFormat="1" ht="36.75" customHeight="1" x14ac:dyDescent="0.2">
      <c r="A66" s="303" t="s">
        <v>455</v>
      </c>
      <c r="B66" s="305"/>
      <c r="C66" s="116">
        <v>15</v>
      </c>
      <c r="D66" s="151"/>
      <c r="E66" s="152"/>
      <c r="F66" s="153">
        <f t="shared" ref="F66:N66" si="33">SUM(F51:F65)</f>
        <v>241000</v>
      </c>
      <c r="G66" s="153">
        <f t="shared" si="33"/>
        <v>0</v>
      </c>
      <c r="H66" s="153">
        <f t="shared" si="33"/>
        <v>241000</v>
      </c>
      <c r="I66" s="153">
        <f t="shared" si="33"/>
        <v>0</v>
      </c>
      <c r="J66" s="153">
        <f t="shared" si="33"/>
        <v>797.25</v>
      </c>
      <c r="K66" s="153">
        <f t="shared" si="33"/>
        <v>0</v>
      </c>
      <c r="L66" s="153">
        <f t="shared" si="33"/>
        <v>0</v>
      </c>
      <c r="M66" s="153">
        <f t="shared" si="33"/>
        <v>797.25</v>
      </c>
      <c r="N66" s="153">
        <f t="shared" si="33"/>
        <v>240202.75</v>
      </c>
    </row>
    <row r="67" spans="1:14" ht="29.25" customHeight="1" x14ac:dyDescent="0.2">
      <c r="A67" s="294" t="s">
        <v>465</v>
      </c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6"/>
    </row>
    <row r="68" spans="1:14" s="1" customFormat="1" ht="32.1" customHeight="1" x14ac:dyDescent="0.2">
      <c r="A68" s="219">
        <v>52</v>
      </c>
      <c r="B68" s="99" t="s">
        <v>664</v>
      </c>
      <c r="C68" s="220" t="s">
        <v>665</v>
      </c>
      <c r="D68" s="221" t="s">
        <v>318</v>
      </c>
      <c r="E68" s="221" t="s">
        <v>281</v>
      </c>
      <c r="F68" s="103">
        <v>13000</v>
      </c>
      <c r="G68" s="103">
        <v>0</v>
      </c>
      <c r="H68" s="103">
        <f t="shared" ref="H68:H100" si="34">+F68+G68</f>
        <v>13000</v>
      </c>
      <c r="I68" s="103">
        <v>0</v>
      </c>
      <c r="J68" s="103">
        <v>0</v>
      </c>
      <c r="K68" s="103">
        <v>0</v>
      </c>
      <c r="L68" s="103">
        <v>0</v>
      </c>
      <c r="M68" s="103">
        <f t="shared" ref="M68:M70" si="35">SUM(I68:L68)</f>
        <v>0</v>
      </c>
      <c r="N68" s="103">
        <f t="shared" ref="N68:N70" si="36">+F68-M68</f>
        <v>13000</v>
      </c>
    </row>
    <row r="69" spans="1:14" s="1" customFormat="1" ht="32.1" customHeight="1" x14ac:dyDescent="0.2">
      <c r="A69" s="219">
        <v>53</v>
      </c>
      <c r="B69" s="99" t="s">
        <v>664</v>
      </c>
      <c r="C69" s="220" t="s">
        <v>665</v>
      </c>
      <c r="D69" s="221" t="s">
        <v>318</v>
      </c>
      <c r="E69" s="221" t="s">
        <v>281</v>
      </c>
      <c r="F69" s="103">
        <v>13000</v>
      </c>
      <c r="G69" s="103">
        <v>0</v>
      </c>
      <c r="H69" s="103">
        <f t="shared" si="34"/>
        <v>13000</v>
      </c>
      <c r="I69" s="103">
        <v>0</v>
      </c>
      <c r="J69" s="103">
        <v>0</v>
      </c>
      <c r="K69" s="103">
        <v>0</v>
      </c>
      <c r="L69" s="103">
        <v>0</v>
      </c>
      <c r="M69" s="103">
        <f t="shared" si="35"/>
        <v>0</v>
      </c>
      <c r="N69" s="103">
        <f t="shared" si="36"/>
        <v>13000</v>
      </c>
    </row>
    <row r="70" spans="1:14" s="1" customFormat="1" ht="32.1" customHeight="1" x14ac:dyDescent="0.2">
      <c r="A70" s="219">
        <v>54</v>
      </c>
      <c r="B70" s="99" t="s">
        <v>664</v>
      </c>
      <c r="C70" s="220" t="s">
        <v>665</v>
      </c>
      <c r="D70" s="221" t="s">
        <v>318</v>
      </c>
      <c r="E70" s="221" t="s">
        <v>281</v>
      </c>
      <c r="F70" s="103">
        <v>13000</v>
      </c>
      <c r="G70" s="103">
        <v>0</v>
      </c>
      <c r="H70" s="103">
        <f t="shared" si="34"/>
        <v>13000</v>
      </c>
      <c r="I70" s="103">
        <v>0</v>
      </c>
      <c r="J70" s="103">
        <v>0</v>
      </c>
      <c r="K70" s="103">
        <v>0</v>
      </c>
      <c r="L70" s="103">
        <v>0</v>
      </c>
      <c r="M70" s="103">
        <f t="shared" si="35"/>
        <v>0</v>
      </c>
      <c r="N70" s="103">
        <f t="shared" si="36"/>
        <v>13000</v>
      </c>
    </row>
    <row r="71" spans="1:14" s="1" customFormat="1" ht="32.1" customHeight="1" x14ac:dyDescent="0.2">
      <c r="A71" s="219">
        <v>55</v>
      </c>
      <c r="B71" s="99" t="s">
        <v>332</v>
      </c>
      <c r="C71" s="220" t="s">
        <v>665</v>
      </c>
      <c r="D71" s="100" t="s">
        <v>318</v>
      </c>
      <c r="E71" s="100" t="s">
        <v>281</v>
      </c>
      <c r="F71" s="103">
        <v>13000</v>
      </c>
      <c r="G71" s="103">
        <v>0</v>
      </c>
      <c r="H71" s="103">
        <f t="shared" ref="H71" si="37">+F71+G71</f>
        <v>13000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f t="shared" ref="N71" si="38">+H71-M71</f>
        <v>13000</v>
      </c>
    </row>
    <row r="72" spans="1:14" s="1" customFormat="1" ht="32.1" customHeight="1" x14ac:dyDescent="0.2">
      <c r="A72" s="219">
        <v>56</v>
      </c>
      <c r="B72" s="99" t="s">
        <v>664</v>
      </c>
      <c r="C72" s="220" t="s">
        <v>665</v>
      </c>
      <c r="D72" s="100" t="s">
        <v>318</v>
      </c>
      <c r="E72" s="100" t="s">
        <v>281</v>
      </c>
      <c r="F72" s="103">
        <v>13000</v>
      </c>
      <c r="G72" s="103">
        <v>0</v>
      </c>
      <c r="H72" s="103">
        <f t="shared" ref="H72:H73" si="39">+F72+G72</f>
        <v>13000</v>
      </c>
      <c r="I72" s="103">
        <v>0</v>
      </c>
      <c r="J72" s="103">
        <v>0</v>
      </c>
      <c r="K72" s="103">
        <v>0</v>
      </c>
      <c r="L72" s="103">
        <v>0</v>
      </c>
      <c r="M72" s="103">
        <f t="shared" ref="M72:M73" si="40">SUM(I72:L72)</f>
        <v>0</v>
      </c>
      <c r="N72" s="103">
        <f t="shared" ref="N72:N73" si="41">+F72-M72</f>
        <v>13000</v>
      </c>
    </row>
    <row r="73" spans="1:14" s="1" customFormat="1" ht="32.1" customHeight="1" x14ac:dyDescent="0.2">
      <c r="A73" s="219">
        <v>57</v>
      </c>
      <c r="B73" s="99" t="s">
        <v>332</v>
      </c>
      <c r="C73" s="220" t="s">
        <v>325</v>
      </c>
      <c r="D73" s="100" t="s">
        <v>318</v>
      </c>
      <c r="E73" s="100" t="s">
        <v>281</v>
      </c>
      <c r="F73" s="103">
        <v>18000</v>
      </c>
      <c r="G73" s="103">
        <v>0</v>
      </c>
      <c r="H73" s="103">
        <f t="shared" si="39"/>
        <v>18000</v>
      </c>
      <c r="I73" s="103">
        <v>0</v>
      </c>
      <c r="J73" s="103">
        <v>0</v>
      </c>
      <c r="K73" s="103">
        <v>0</v>
      </c>
      <c r="L73" s="103">
        <v>0</v>
      </c>
      <c r="M73" s="103">
        <f t="shared" si="40"/>
        <v>0</v>
      </c>
      <c r="N73" s="103">
        <f t="shared" si="41"/>
        <v>18000</v>
      </c>
    </row>
    <row r="74" spans="1:14" s="1" customFormat="1" ht="32.1" customHeight="1" x14ac:dyDescent="0.2">
      <c r="A74" s="219">
        <v>58</v>
      </c>
      <c r="B74" s="99" t="s">
        <v>332</v>
      </c>
      <c r="C74" s="220" t="s">
        <v>325</v>
      </c>
      <c r="D74" s="100" t="s">
        <v>318</v>
      </c>
      <c r="E74" s="100" t="s">
        <v>281</v>
      </c>
      <c r="F74" s="103">
        <v>13000</v>
      </c>
      <c r="G74" s="103">
        <v>0</v>
      </c>
      <c r="H74" s="103">
        <f t="shared" ref="H74" si="42">+F74+G74</f>
        <v>13000</v>
      </c>
      <c r="I74" s="103">
        <v>0</v>
      </c>
      <c r="J74" s="103">
        <v>0</v>
      </c>
      <c r="K74" s="103">
        <v>0</v>
      </c>
      <c r="L74" s="103">
        <v>0</v>
      </c>
      <c r="M74" s="103">
        <f t="shared" ref="M74" si="43">SUM(I74:L74)</f>
        <v>0</v>
      </c>
      <c r="N74" s="103">
        <f t="shared" ref="N74" si="44">+F74-M74</f>
        <v>13000</v>
      </c>
    </row>
    <row r="75" spans="1:14" s="1" customFormat="1" ht="32.1" customHeight="1" x14ac:dyDescent="0.2">
      <c r="A75" s="219">
        <v>59</v>
      </c>
      <c r="B75" s="99" t="s">
        <v>664</v>
      </c>
      <c r="C75" s="220" t="s">
        <v>325</v>
      </c>
      <c r="D75" s="100" t="s">
        <v>318</v>
      </c>
      <c r="E75" s="100" t="s">
        <v>281</v>
      </c>
      <c r="F75" s="103">
        <v>13000</v>
      </c>
      <c r="G75" s="103">
        <v>0</v>
      </c>
      <c r="H75" s="103">
        <f t="shared" ref="H75:H87" si="45">+F75+G75</f>
        <v>13000</v>
      </c>
      <c r="I75" s="103">
        <v>0</v>
      </c>
      <c r="J75" s="103">
        <v>0</v>
      </c>
      <c r="K75" s="103">
        <v>0</v>
      </c>
      <c r="L75" s="103">
        <v>0</v>
      </c>
      <c r="M75" s="103">
        <f t="shared" ref="M75" si="46">SUM(I75:L75)</f>
        <v>0</v>
      </c>
      <c r="N75" s="103">
        <f t="shared" ref="N75" si="47">+F75-M75</f>
        <v>13000</v>
      </c>
    </row>
    <row r="76" spans="1:14" s="1" customFormat="1" ht="32.1" customHeight="1" x14ac:dyDescent="0.2">
      <c r="A76" s="219">
        <v>60</v>
      </c>
      <c r="B76" s="99" t="s">
        <v>664</v>
      </c>
      <c r="C76" s="220" t="s">
        <v>665</v>
      </c>
      <c r="D76" s="100" t="s">
        <v>318</v>
      </c>
      <c r="E76" s="100" t="s">
        <v>281</v>
      </c>
      <c r="F76" s="103">
        <v>13000</v>
      </c>
      <c r="G76" s="103">
        <v>0</v>
      </c>
      <c r="H76" s="103">
        <f t="shared" ref="H76:H86" si="48">+F76+G76</f>
        <v>13000</v>
      </c>
      <c r="I76" s="103">
        <v>0</v>
      </c>
      <c r="J76" s="103">
        <v>0</v>
      </c>
      <c r="K76" s="103">
        <v>0</v>
      </c>
      <c r="L76" s="103">
        <v>0</v>
      </c>
      <c r="M76" s="103">
        <f t="shared" ref="M76" si="49">SUM(I76:L76)</f>
        <v>0</v>
      </c>
      <c r="N76" s="103">
        <f t="shared" ref="N76" si="50">+F76-M76</f>
        <v>13000</v>
      </c>
    </row>
    <row r="77" spans="1:14" s="1" customFormat="1" ht="32.1" customHeight="1" x14ac:dyDescent="0.2">
      <c r="A77" s="219">
        <v>61</v>
      </c>
      <c r="B77" s="99" t="s">
        <v>794</v>
      </c>
      <c r="C77" s="220" t="s">
        <v>325</v>
      </c>
      <c r="D77" s="100" t="s">
        <v>318</v>
      </c>
      <c r="E77" s="100" t="s">
        <v>281</v>
      </c>
      <c r="F77" s="103">
        <v>16000</v>
      </c>
      <c r="G77" s="103">
        <v>0</v>
      </c>
      <c r="H77" s="103">
        <f t="shared" ref="H77:H83" si="51">+F77+G77</f>
        <v>16000</v>
      </c>
      <c r="I77" s="103">
        <v>0</v>
      </c>
      <c r="J77" s="103">
        <v>0</v>
      </c>
      <c r="K77" s="103">
        <v>0</v>
      </c>
      <c r="L77" s="103">
        <v>0</v>
      </c>
      <c r="M77" s="103">
        <f t="shared" ref="M77:M83" si="52">SUM(I77:L77)</f>
        <v>0</v>
      </c>
      <c r="N77" s="103">
        <f t="shared" ref="N77:N83" si="53">+F77-M77</f>
        <v>16000</v>
      </c>
    </row>
    <row r="78" spans="1:14" s="1" customFormat="1" ht="32.1" customHeight="1" x14ac:dyDescent="0.2">
      <c r="A78" s="219">
        <v>62</v>
      </c>
      <c r="B78" s="99" t="s">
        <v>664</v>
      </c>
      <c r="C78" s="220" t="s">
        <v>325</v>
      </c>
      <c r="D78" s="100" t="s">
        <v>318</v>
      </c>
      <c r="E78" s="100" t="s">
        <v>281</v>
      </c>
      <c r="F78" s="103">
        <v>13000</v>
      </c>
      <c r="G78" s="103">
        <v>0</v>
      </c>
      <c r="H78" s="103">
        <f t="shared" si="51"/>
        <v>13000</v>
      </c>
      <c r="I78" s="103">
        <v>0</v>
      </c>
      <c r="J78" s="103">
        <v>0</v>
      </c>
      <c r="K78" s="103">
        <v>0</v>
      </c>
      <c r="L78" s="103">
        <v>0</v>
      </c>
      <c r="M78" s="103">
        <f t="shared" si="52"/>
        <v>0</v>
      </c>
      <c r="N78" s="103">
        <f t="shared" si="53"/>
        <v>13000</v>
      </c>
    </row>
    <row r="79" spans="1:14" s="1" customFormat="1" ht="32.1" customHeight="1" x14ac:dyDescent="0.2">
      <c r="A79" s="219">
        <v>63</v>
      </c>
      <c r="B79" s="99" t="s">
        <v>664</v>
      </c>
      <c r="C79" s="220" t="s">
        <v>325</v>
      </c>
      <c r="D79" s="100" t="s">
        <v>318</v>
      </c>
      <c r="E79" s="100" t="s">
        <v>281</v>
      </c>
      <c r="F79" s="103">
        <v>13000</v>
      </c>
      <c r="G79" s="103">
        <v>0</v>
      </c>
      <c r="H79" s="103">
        <f t="shared" si="51"/>
        <v>13000</v>
      </c>
      <c r="I79" s="103">
        <v>0</v>
      </c>
      <c r="J79" s="103">
        <v>0</v>
      </c>
      <c r="K79" s="103">
        <v>0</v>
      </c>
      <c r="L79" s="103">
        <v>0</v>
      </c>
      <c r="M79" s="103">
        <f t="shared" si="52"/>
        <v>0</v>
      </c>
      <c r="N79" s="103">
        <f t="shared" si="53"/>
        <v>13000</v>
      </c>
    </row>
    <row r="80" spans="1:14" s="1" customFormat="1" ht="32.1" customHeight="1" x14ac:dyDescent="0.2">
      <c r="A80" s="219">
        <v>64</v>
      </c>
      <c r="B80" s="99" t="s">
        <v>664</v>
      </c>
      <c r="C80" s="220" t="s">
        <v>325</v>
      </c>
      <c r="D80" s="100" t="s">
        <v>318</v>
      </c>
      <c r="E80" s="100" t="s">
        <v>281</v>
      </c>
      <c r="F80" s="103">
        <v>13000</v>
      </c>
      <c r="G80" s="103">
        <v>0</v>
      </c>
      <c r="H80" s="103">
        <f t="shared" si="51"/>
        <v>13000</v>
      </c>
      <c r="I80" s="103">
        <v>0</v>
      </c>
      <c r="J80" s="103">
        <v>0</v>
      </c>
      <c r="K80" s="103">
        <v>0</v>
      </c>
      <c r="L80" s="103">
        <v>0</v>
      </c>
      <c r="M80" s="103">
        <f t="shared" si="52"/>
        <v>0</v>
      </c>
      <c r="N80" s="103">
        <f t="shared" si="53"/>
        <v>13000</v>
      </c>
    </row>
    <row r="81" spans="1:14" s="1" customFormat="1" ht="32.1" customHeight="1" x14ac:dyDescent="0.2">
      <c r="A81" s="219">
        <v>65</v>
      </c>
      <c r="B81" s="99" t="s">
        <v>664</v>
      </c>
      <c r="C81" s="220" t="s">
        <v>325</v>
      </c>
      <c r="D81" s="100" t="s">
        <v>318</v>
      </c>
      <c r="E81" s="100" t="s">
        <v>281</v>
      </c>
      <c r="F81" s="103">
        <v>13000</v>
      </c>
      <c r="G81" s="103">
        <v>0</v>
      </c>
      <c r="H81" s="103">
        <f t="shared" si="51"/>
        <v>13000</v>
      </c>
      <c r="I81" s="103">
        <v>0</v>
      </c>
      <c r="J81" s="103">
        <v>0</v>
      </c>
      <c r="K81" s="103">
        <v>0</v>
      </c>
      <c r="L81" s="103">
        <v>0</v>
      </c>
      <c r="M81" s="103">
        <f t="shared" si="52"/>
        <v>0</v>
      </c>
      <c r="N81" s="103">
        <f t="shared" si="53"/>
        <v>13000</v>
      </c>
    </row>
    <row r="82" spans="1:14" s="1" customFormat="1" ht="32.1" customHeight="1" x14ac:dyDescent="0.2">
      <c r="A82" s="219">
        <v>66</v>
      </c>
      <c r="B82" s="99" t="s">
        <v>794</v>
      </c>
      <c r="C82" s="220" t="s">
        <v>665</v>
      </c>
      <c r="D82" s="100" t="s">
        <v>318</v>
      </c>
      <c r="E82" s="100" t="s">
        <v>19</v>
      </c>
      <c r="F82" s="103">
        <v>13000</v>
      </c>
      <c r="G82" s="103">
        <v>0</v>
      </c>
      <c r="H82" s="103">
        <f t="shared" si="51"/>
        <v>13000</v>
      </c>
      <c r="I82" s="103">
        <v>0</v>
      </c>
      <c r="J82" s="103">
        <v>0</v>
      </c>
      <c r="K82" s="103">
        <v>0</v>
      </c>
      <c r="L82" s="103">
        <v>0</v>
      </c>
      <c r="M82" s="103">
        <f t="shared" si="52"/>
        <v>0</v>
      </c>
      <c r="N82" s="103">
        <f t="shared" si="53"/>
        <v>13000</v>
      </c>
    </row>
    <row r="83" spans="1:14" s="1" customFormat="1" ht="32.1" customHeight="1" x14ac:dyDescent="0.2">
      <c r="A83" s="219">
        <v>67</v>
      </c>
      <c r="B83" s="99" t="s">
        <v>332</v>
      </c>
      <c r="C83" s="220" t="s">
        <v>665</v>
      </c>
      <c r="D83" s="100" t="s">
        <v>318</v>
      </c>
      <c r="E83" s="100" t="s">
        <v>281</v>
      </c>
      <c r="F83" s="103">
        <v>13000</v>
      </c>
      <c r="G83" s="103">
        <v>0</v>
      </c>
      <c r="H83" s="103">
        <f t="shared" si="51"/>
        <v>13000</v>
      </c>
      <c r="I83" s="103">
        <v>0</v>
      </c>
      <c r="J83" s="103">
        <v>0</v>
      </c>
      <c r="K83" s="103">
        <v>0</v>
      </c>
      <c r="L83" s="103">
        <v>0</v>
      </c>
      <c r="M83" s="103">
        <f t="shared" si="52"/>
        <v>0</v>
      </c>
      <c r="N83" s="103">
        <f t="shared" si="53"/>
        <v>13000</v>
      </c>
    </row>
    <row r="84" spans="1:14" s="1" customFormat="1" ht="32.1" customHeight="1" x14ac:dyDescent="0.2">
      <c r="A84" s="219">
        <v>68</v>
      </c>
      <c r="B84" s="99" t="s">
        <v>664</v>
      </c>
      <c r="C84" s="220" t="s">
        <v>665</v>
      </c>
      <c r="D84" s="100" t="s">
        <v>318</v>
      </c>
      <c r="E84" s="100" t="s">
        <v>281</v>
      </c>
      <c r="F84" s="103">
        <v>13000</v>
      </c>
      <c r="G84" s="103">
        <v>0</v>
      </c>
      <c r="H84" s="103">
        <f t="shared" ref="H84:H85" si="54">+F84+G84</f>
        <v>13000</v>
      </c>
      <c r="I84" s="103">
        <v>0</v>
      </c>
      <c r="J84" s="103">
        <v>0</v>
      </c>
      <c r="K84" s="103">
        <v>0</v>
      </c>
      <c r="L84" s="103">
        <v>0</v>
      </c>
      <c r="M84" s="103">
        <f t="shared" ref="M84:M85" si="55">SUM(I84:L84)</f>
        <v>0</v>
      </c>
      <c r="N84" s="103">
        <f t="shared" ref="N84:N85" si="56">+F84-M84</f>
        <v>13000</v>
      </c>
    </row>
    <row r="85" spans="1:14" s="1" customFormat="1" ht="32.1" customHeight="1" x14ac:dyDescent="0.2">
      <c r="A85" s="219">
        <v>69</v>
      </c>
      <c r="B85" s="99" t="s">
        <v>664</v>
      </c>
      <c r="C85" s="220" t="s">
        <v>665</v>
      </c>
      <c r="D85" s="100" t="s">
        <v>318</v>
      </c>
      <c r="E85" s="100" t="s">
        <v>281</v>
      </c>
      <c r="F85" s="103">
        <v>13000</v>
      </c>
      <c r="G85" s="103">
        <v>0</v>
      </c>
      <c r="H85" s="103">
        <f t="shared" si="54"/>
        <v>13000</v>
      </c>
      <c r="I85" s="103">
        <v>0</v>
      </c>
      <c r="J85" s="103">
        <v>0</v>
      </c>
      <c r="K85" s="103">
        <v>0</v>
      </c>
      <c r="L85" s="103">
        <v>0</v>
      </c>
      <c r="M85" s="103">
        <f t="shared" si="55"/>
        <v>0</v>
      </c>
      <c r="N85" s="103">
        <f t="shared" si="56"/>
        <v>13000</v>
      </c>
    </row>
    <row r="86" spans="1:14" s="1" customFormat="1" ht="32.1" customHeight="1" x14ac:dyDescent="0.2">
      <c r="A86" s="219">
        <v>70</v>
      </c>
      <c r="B86" s="99" t="s">
        <v>794</v>
      </c>
      <c r="C86" s="99" t="s">
        <v>665</v>
      </c>
      <c r="D86" s="100" t="s">
        <v>318</v>
      </c>
      <c r="E86" s="100" t="s">
        <v>281</v>
      </c>
      <c r="F86" s="103">
        <v>13000</v>
      </c>
      <c r="G86" s="103">
        <v>0</v>
      </c>
      <c r="H86" s="103">
        <f t="shared" si="48"/>
        <v>13000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f t="shared" ref="N86" si="57">+H86-M86</f>
        <v>13000</v>
      </c>
    </row>
    <row r="87" spans="1:14" s="1" customFormat="1" ht="32.1" customHeight="1" x14ac:dyDescent="0.2">
      <c r="A87" s="219">
        <v>71</v>
      </c>
      <c r="B87" s="99" t="s">
        <v>794</v>
      </c>
      <c r="C87" s="99" t="s">
        <v>665</v>
      </c>
      <c r="D87" s="100" t="s">
        <v>318</v>
      </c>
      <c r="E87" s="100" t="s">
        <v>281</v>
      </c>
      <c r="F87" s="103">
        <v>13000</v>
      </c>
      <c r="G87" s="103">
        <v>0</v>
      </c>
      <c r="H87" s="103">
        <f t="shared" si="45"/>
        <v>13000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f t="shared" ref="N87" si="58">+H87-M87</f>
        <v>13000</v>
      </c>
    </row>
    <row r="88" spans="1:14" s="1" customFormat="1" ht="32.1" customHeight="1" x14ac:dyDescent="0.2">
      <c r="A88" s="219">
        <v>72</v>
      </c>
      <c r="B88" s="99" t="s">
        <v>794</v>
      </c>
      <c r="C88" s="99" t="s">
        <v>665</v>
      </c>
      <c r="D88" s="100" t="s">
        <v>318</v>
      </c>
      <c r="E88" s="100" t="s">
        <v>281</v>
      </c>
      <c r="F88" s="103">
        <v>13000</v>
      </c>
      <c r="G88" s="103">
        <v>0</v>
      </c>
      <c r="H88" s="103">
        <f t="shared" ref="H88" si="59">+F88+G88</f>
        <v>13000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f t="shared" ref="N88" si="60">+H88-M88</f>
        <v>13000</v>
      </c>
    </row>
    <row r="89" spans="1:14" s="1" customFormat="1" ht="32.1" customHeight="1" x14ac:dyDescent="0.2">
      <c r="A89" s="219">
        <v>73</v>
      </c>
      <c r="B89" s="99" t="s">
        <v>664</v>
      </c>
      <c r="C89" s="155" t="s">
        <v>665</v>
      </c>
      <c r="D89" s="100" t="s">
        <v>318</v>
      </c>
      <c r="E89" s="222" t="s">
        <v>281</v>
      </c>
      <c r="F89" s="223">
        <v>13000</v>
      </c>
      <c r="G89" s="103">
        <v>0</v>
      </c>
      <c r="H89" s="103">
        <f t="shared" ref="H89" si="61">SUM(F89:G89)</f>
        <v>13000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f t="shared" ref="N89:N90" si="62">+H89-M89</f>
        <v>13000</v>
      </c>
    </row>
    <row r="90" spans="1:14" s="1" customFormat="1" ht="32.1" customHeight="1" x14ac:dyDescent="0.2">
      <c r="A90" s="219">
        <v>74</v>
      </c>
      <c r="B90" s="99" t="s">
        <v>664</v>
      </c>
      <c r="C90" s="99" t="s">
        <v>665</v>
      </c>
      <c r="D90" s="100" t="s">
        <v>318</v>
      </c>
      <c r="E90" s="100" t="s">
        <v>281</v>
      </c>
      <c r="F90" s="103">
        <v>13000</v>
      </c>
      <c r="G90" s="103">
        <v>0</v>
      </c>
      <c r="H90" s="103">
        <f t="shared" ref="H90" si="63">+F90+G90</f>
        <v>13000</v>
      </c>
      <c r="I90" s="103">
        <v>0</v>
      </c>
      <c r="J90" s="103">
        <v>0</v>
      </c>
      <c r="K90" s="103">
        <v>0</v>
      </c>
      <c r="L90" s="103">
        <v>0</v>
      </c>
      <c r="M90" s="103">
        <v>0</v>
      </c>
      <c r="N90" s="103">
        <f t="shared" si="62"/>
        <v>13000</v>
      </c>
    </row>
    <row r="91" spans="1:14" s="1" customFormat="1" ht="32.1" customHeight="1" x14ac:dyDescent="0.2">
      <c r="A91" s="219">
        <v>75</v>
      </c>
      <c r="B91" s="122" t="s">
        <v>794</v>
      </c>
      <c r="C91" s="122" t="s">
        <v>665</v>
      </c>
      <c r="D91" s="100" t="s">
        <v>318</v>
      </c>
      <c r="E91" s="108" t="s">
        <v>281</v>
      </c>
      <c r="F91" s="111">
        <v>13000</v>
      </c>
      <c r="G91" s="111">
        <v>0</v>
      </c>
      <c r="H91" s="111">
        <f t="shared" ref="H91:H95" si="64">+F91+G91</f>
        <v>13000</v>
      </c>
      <c r="I91" s="111">
        <v>0</v>
      </c>
      <c r="J91" s="111">
        <v>0</v>
      </c>
      <c r="K91" s="111">
        <v>0</v>
      </c>
      <c r="L91" s="111">
        <v>0</v>
      </c>
      <c r="M91" s="111">
        <f t="shared" ref="M91:M95" si="65">SUM(I91:L91)</f>
        <v>0</v>
      </c>
      <c r="N91" s="111">
        <f t="shared" ref="N91:N95" si="66">+F91-M91</f>
        <v>13000</v>
      </c>
    </row>
    <row r="92" spans="1:14" s="1" customFormat="1" ht="32.1" customHeight="1" x14ac:dyDescent="0.2">
      <c r="A92" s="219">
        <v>76</v>
      </c>
      <c r="B92" s="122" t="s">
        <v>794</v>
      </c>
      <c r="C92" s="122" t="s">
        <v>665</v>
      </c>
      <c r="D92" s="100" t="s">
        <v>318</v>
      </c>
      <c r="E92" s="108" t="s">
        <v>281</v>
      </c>
      <c r="F92" s="111">
        <v>13000</v>
      </c>
      <c r="G92" s="111">
        <v>0</v>
      </c>
      <c r="H92" s="111">
        <f t="shared" si="64"/>
        <v>13000</v>
      </c>
      <c r="I92" s="111">
        <v>0</v>
      </c>
      <c r="J92" s="111">
        <v>0</v>
      </c>
      <c r="K92" s="111">
        <v>0</v>
      </c>
      <c r="L92" s="111">
        <v>0</v>
      </c>
      <c r="M92" s="111">
        <f t="shared" si="65"/>
        <v>0</v>
      </c>
      <c r="N92" s="111">
        <f t="shared" si="66"/>
        <v>13000</v>
      </c>
    </row>
    <row r="93" spans="1:14" s="1" customFormat="1" ht="32.1" customHeight="1" x14ac:dyDescent="0.2">
      <c r="A93" s="219">
        <v>77</v>
      </c>
      <c r="B93" s="122" t="s">
        <v>332</v>
      </c>
      <c r="C93" s="122" t="s">
        <v>665</v>
      </c>
      <c r="D93" s="100" t="s">
        <v>318</v>
      </c>
      <c r="E93" s="108" t="s">
        <v>281</v>
      </c>
      <c r="F93" s="111">
        <v>8500</v>
      </c>
      <c r="G93" s="111">
        <v>0</v>
      </c>
      <c r="H93" s="111">
        <f t="shared" si="64"/>
        <v>8500</v>
      </c>
      <c r="I93" s="111">
        <v>0</v>
      </c>
      <c r="J93" s="111">
        <v>0</v>
      </c>
      <c r="K93" s="111">
        <v>0</v>
      </c>
      <c r="L93" s="111">
        <v>0</v>
      </c>
      <c r="M93" s="111">
        <f t="shared" si="65"/>
        <v>0</v>
      </c>
      <c r="N93" s="111">
        <f t="shared" si="66"/>
        <v>8500</v>
      </c>
    </row>
    <row r="94" spans="1:14" s="1" customFormat="1" ht="32.1" customHeight="1" x14ac:dyDescent="0.2">
      <c r="A94" s="219">
        <v>78</v>
      </c>
      <c r="B94" s="122" t="s">
        <v>664</v>
      </c>
      <c r="C94" s="122" t="s">
        <v>665</v>
      </c>
      <c r="D94" s="100" t="s">
        <v>318</v>
      </c>
      <c r="E94" s="108" t="s">
        <v>281</v>
      </c>
      <c r="F94" s="111">
        <v>18000</v>
      </c>
      <c r="G94" s="111">
        <v>0</v>
      </c>
      <c r="H94" s="111">
        <f t="shared" si="64"/>
        <v>18000</v>
      </c>
      <c r="I94" s="111">
        <v>0</v>
      </c>
      <c r="J94" s="111">
        <v>0</v>
      </c>
      <c r="K94" s="111">
        <v>0</v>
      </c>
      <c r="L94" s="111">
        <v>0</v>
      </c>
      <c r="M94" s="111">
        <f t="shared" si="65"/>
        <v>0</v>
      </c>
      <c r="N94" s="111">
        <f t="shared" si="66"/>
        <v>18000</v>
      </c>
    </row>
    <row r="95" spans="1:14" s="1" customFormat="1" ht="32.1" customHeight="1" x14ac:dyDescent="0.2">
      <c r="A95" s="219">
        <v>79</v>
      </c>
      <c r="B95" s="122" t="s">
        <v>794</v>
      </c>
      <c r="C95" s="122" t="s">
        <v>665</v>
      </c>
      <c r="D95" s="100" t="s">
        <v>318</v>
      </c>
      <c r="E95" s="108" t="s">
        <v>281</v>
      </c>
      <c r="F95" s="111">
        <v>13000</v>
      </c>
      <c r="G95" s="111">
        <v>0</v>
      </c>
      <c r="H95" s="111">
        <f t="shared" si="64"/>
        <v>13000</v>
      </c>
      <c r="I95" s="111">
        <v>0</v>
      </c>
      <c r="J95" s="111">
        <v>0</v>
      </c>
      <c r="K95" s="111">
        <v>0</v>
      </c>
      <c r="L95" s="111">
        <v>0</v>
      </c>
      <c r="M95" s="111">
        <f t="shared" si="65"/>
        <v>0</v>
      </c>
      <c r="N95" s="111">
        <f t="shared" si="66"/>
        <v>13000</v>
      </c>
    </row>
    <row r="96" spans="1:14" s="1" customFormat="1" ht="32.1" customHeight="1" x14ac:dyDescent="0.2">
      <c r="A96" s="219">
        <v>80</v>
      </c>
      <c r="B96" s="122" t="s">
        <v>332</v>
      </c>
      <c r="C96" s="122" t="s">
        <v>665</v>
      </c>
      <c r="D96" s="100" t="s">
        <v>318</v>
      </c>
      <c r="E96" s="108" t="s">
        <v>281</v>
      </c>
      <c r="F96" s="111">
        <v>20000</v>
      </c>
      <c r="G96" s="111">
        <v>0</v>
      </c>
      <c r="H96" s="111">
        <f t="shared" ref="H96:H99" si="67">+F96+G96</f>
        <v>20000</v>
      </c>
      <c r="I96" s="111">
        <v>0</v>
      </c>
      <c r="J96" s="111">
        <v>0</v>
      </c>
      <c r="K96" s="111">
        <v>0</v>
      </c>
      <c r="L96" s="111">
        <v>0</v>
      </c>
      <c r="M96" s="111">
        <f t="shared" ref="M96:M99" si="68">SUM(I96:L96)</f>
        <v>0</v>
      </c>
      <c r="N96" s="111">
        <f t="shared" ref="N96:N99" si="69">+F96-M96</f>
        <v>20000</v>
      </c>
    </row>
    <row r="97" spans="1:14" s="1" customFormat="1" ht="32.1" customHeight="1" x14ac:dyDescent="0.2">
      <c r="A97" s="219">
        <v>81</v>
      </c>
      <c r="B97" s="122" t="s">
        <v>332</v>
      </c>
      <c r="C97" s="122" t="s">
        <v>665</v>
      </c>
      <c r="D97" s="100" t="s">
        <v>318</v>
      </c>
      <c r="E97" s="108" t="s">
        <v>281</v>
      </c>
      <c r="F97" s="111">
        <v>13000</v>
      </c>
      <c r="G97" s="111">
        <v>0</v>
      </c>
      <c r="H97" s="111">
        <f t="shared" si="67"/>
        <v>13000</v>
      </c>
      <c r="I97" s="111">
        <v>0</v>
      </c>
      <c r="J97" s="111">
        <v>0</v>
      </c>
      <c r="K97" s="111">
        <v>0</v>
      </c>
      <c r="L97" s="111">
        <v>0</v>
      </c>
      <c r="M97" s="111">
        <f t="shared" si="68"/>
        <v>0</v>
      </c>
      <c r="N97" s="111">
        <f t="shared" si="69"/>
        <v>13000</v>
      </c>
    </row>
    <row r="98" spans="1:14" s="1" customFormat="1" ht="32.1" customHeight="1" x14ac:dyDescent="0.2">
      <c r="A98" s="219">
        <v>82</v>
      </c>
      <c r="B98" s="122" t="s">
        <v>794</v>
      </c>
      <c r="C98" s="122" t="s">
        <v>665</v>
      </c>
      <c r="D98" s="100" t="s">
        <v>318</v>
      </c>
      <c r="E98" s="108" t="s">
        <v>281</v>
      </c>
      <c r="F98" s="111">
        <v>13000</v>
      </c>
      <c r="G98" s="111">
        <v>0</v>
      </c>
      <c r="H98" s="111">
        <f t="shared" si="67"/>
        <v>13000</v>
      </c>
      <c r="I98" s="111">
        <v>0</v>
      </c>
      <c r="J98" s="111">
        <v>0</v>
      </c>
      <c r="K98" s="111">
        <v>0</v>
      </c>
      <c r="L98" s="111">
        <v>0</v>
      </c>
      <c r="M98" s="111">
        <f t="shared" si="68"/>
        <v>0</v>
      </c>
      <c r="N98" s="111">
        <f t="shared" si="69"/>
        <v>13000</v>
      </c>
    </row>
    <row r="99" spans="1:14" s="1" customFormat="1" ht="32.1" customHeight="1" x14ac:dyDescent="0.2">
      <c r="A99" s="219">
        <v>83</v>
      </c>
      <c r="B99" s="122" t="s">
        <v>664</v>
      </c>
      <c r="C99" s="122" t="s">
        <v>665</v>
      </c>
      <c r="D99" s="100" t="s">
        <v>318</v>
      </c>
      <c r="E99" s="108" t="s">
        <v>281</v>
      </c>
      <c r="F99" s="111">
        <v>13000</v>
      </c>
      <c r="G99" s="111">
        <v>0</v>
      </c>
      <c r="H99" s="111">
        <f t="shared" si="67"/>
        <v>13000</v>
      </c>
      <c r="I99" s="111">
        <v>0</v>
      </c>
      <c r="J99" s="111">
        <v>0</v>
      </c>
      <c r="K99" s="111">
        <v>0</v>
      </c>
      <c r="L99" s="111">
        <v>0</v>
      </c>
      <c r="M99" s="111">
        <f t="shared" si="68"/>
        <v>0</v>
      </c>
      <c r="N99" s="111">
        <f t="shared" si="69"/>
        <v>13000</v>
      </c>
    </row>
    <row r="100" spans="1:14" s="1" customFormat="1" ht="32.1" customHeight="1" x14ac:dyDescent="0.2">
      <c r="A100" s="219">
        <v>84</v>
      </c>
      <c r="B100" s="122" t="s">
        <v>332</v>
      </c>
      <c r="C100" s="122" t="s">
        <v>325</v>
      </c>
      <c r="D100" s="100" t="s">
        <v>318</v>
      </c>
      <c r="E100" s="108" t="s">
        <v>281</v>
      </c>
      <c r="F100" s="111">
        <v>12000</v>
      </c>
      <c r="G100" s="111">
        <v>0</v>
      </c>
      <c r="H100" s="111">
        <f t="shared" si="34"/>
        <v>12000</v>
      </c>
      <c r="I100" s="111">
        <v>0</v>
      </c>
      <c r="J100" s="111">
        <v>0</v>
      </c>
      <c r="K100" s="111">
        <v>0</v>
      </c>
      <c r="L100" s="111">
        <v>0</v>
      </c>
      <c r="M100" s="111">
        <f>+L100</f>
        <v>0</v>
      </c>
      <c r="N100" s="111">
        <f t="shared" ref="N100:N101" si="70">+F100-M100</f>
        <v>12000</v>
      </c>
    </row>
    <row r="101" spans="1:14" s="1" customFormat="1" ht="32.1" customHeight="1" x14ac:dyDescent="0.2">
      <c r="A101" s="219">
        <v>85</v>
      </c>
      <c r="B101" s="122" t="s">
        <v>332</v>
      </c>
      <c r="C101" s="122" t="s">
        <v>325</v>
      </c>
      <c r="D101" s="100" t="s">
        <v>318</v>
      </c>
      <c r="E101" s="108" t="s">
        <v>281</v>
      </c>
      <c r="F101" s="111">
        <v>12000</v>
      </c>
      <c r="G101" s="111">
        <v>0</v>
      </c>
      <c r="H101" s="111">
        <f t="shared" ref="H101:H110" si="71">+F101+G101</f>
        <v>12000</v>
      </c>
      <c r="I101" s="111">
        <v>0</v>
      </c>
      <c r="J101" s="111">
        <v>0</v>
      </c>
      <c r="K101" s="111">
        <v>0</v>
      </c>
      <c r="L101" s="111">
        <v>2000</v>
      </c>
      <c r="M101" s="111">
        <f>+L101</f>
        <v>2000</v>
      </c>
      <c r="N101" s="111">
        <f t="shared" si="70"/>
        <v>10000</v>
      </c>
    </row>
    <row r="102" spans="1:14" s="1" customFormat="1" ht="32.1" customHeight="1" x14ac:dyDescent="0.2">
      <c r="A102" s="219">
        <v>86</v>
      </c>
      <c r="B102" s="122" t="s">
        <v>332</v>
      </c>
      <c r="C102" s="122" t="s">
        <v>665</v>
      </c>
      <c r="D102" s="100" t="s">
        <v>318</v>
      </c>
      <c r="E102" s="108" t="s">
        <v>281</v>
      </c>
      <c r="F102" s="111">
        <v>12000</v>
      </c>
      <c r="G102" s="111">
        <v>0</v>
      </c>
      <c r="H102" s="111">
        <f t="shared" si="71"/>
        <v>12000</v>
      </c>
      <c r="I102" s="111">
        <v>0</v>
      </c>
      <c r="J102" s="111">
        <v>0</v>
      </c>
      <c r="K102" s="111">
        <v>0</v>
      </c>
      <c r="L102" s="111">
        <v>0</v>
      </c>
      <c r="M102" s="111">
        <f>+J102</f>
        <v>0</v>
      </c>
      <c r="N102" s="111">
        <f t="shared" ref="N102:N110" si="72">+H102-M102</f>
        <v>12000</v>
      </c>
    </row>
    <row r="103" spans="1:14" s="1" customFormat="1" ht="32.1" customHeight="1" x14ac:dyDescent="0.2">
      <c r="A103" s="219">
        <v>87</v>
      </c>
      <c r="B103" s="122" t="s">
        <v>332</v>
      </c>
      <c r="C103" s="122" t="s">
        <v>325</v>
      </c>
      <c r="D103" s="100" t="s">
        <v>318</v>
      </c>
      <c r="E103" s="108" t="s">
        <v>281</v>
      </c>
      <c r="F103" s="111">
        <v>12000</v>
      </c>
      <c r="G103" s="111">
        <v>0</v>
      </c>
      <c r="H103" s="111">
        <f t="shared" si="71"/>
        <v>12000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f t="shared" si="72"/>
        <v>12000</v>
      </c>
    </row>
    <row r="104" spans="1:14" s="1" customFormat="1" ht="32.1" customHeight="1" x14ac:dyDescent="0.2">
      <c r="A104" s="219">
        <v>88</v>
      </c>
      <c r="B104" s="122" t="s">
        <v>332</v>
      </c>
      <c r="C104" s="122" t="s">
        <v>325</v>
      </c>
      <c r="D104" s="100" t="s">
        <v>318</v>
      </c>
      <c r="E104" s="108" t="s">
        <v>281</v>
      </c>
      <c r="F104" s="111">
        <v>20000</v>
      </c>
      <c r="G104" s="111">
        <v>0</v>
      </c>
      <c r="H104" s="111">
        <f t="shared" si="71"/>
        <v>20000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f t="shared" si="72"/>
        <v>20000</v>
      </c>
    </row>
    <row r="105" spans="1:14" s="1" customFormat="1" ht="32.1" customHeight="1" x14ac:dyDescent="0.2">
      <c r="A105" s="219">
        <v>89</v>
      </c>
      <c r="B105" s="122" t="s">
        <v>332</v>
      </c>
      <c r="C105" s="122" t="s">
        <v>665</v>
      </c>
      <c r="D105" s="100" t="s">
        <v>318</v>
      </c>
      <c r="E105" s="108" t="s">
        <v>281</v>
      </c>
      <c r="F105" s="111">
        <v>14000</v>
      </c>
      <c r="G105" s="111">
        <v>0</v>
      </c>
      <c r="H105" s="111">
        <f t="shared" si="71"/>
        <v>14000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f t="shared" si="72"/>
        <v>14000</v>
      </c>
    </row>
    <row r="106" spans="1:14" s="1" customFormat="1" ht="32.1" customHeight="1" x14ac:dyDescent="0.2">
      <c r="A106" s="219">
        <v>90</v>
      </c>
      <c r="B106" s="122" t="s">
        <v>332</v>
      </c>
      <c r="C106" s="122" t="s">
        <v>244</v>
      </c>
      <c r="D106" s="100" t="s">
        <v>318</v>
      </c>
      <c r="E106" s="108" t="s">
        <v>281</v>
      </c>
      <c r="F106" s="111">
        <v>25000</v>
      </c>
      <c r="G106" s="111">
        <v>0</v>
      </c>
      <c r="H106" s="111">
        <f t="shared" si="71"/>
        <v>25000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f t="shared" si="72"/>
        <v>25000</v>
      </c>
    </row>
    <row r="107" spans="1:14" s="1" customFormat="1" ht="32.1" customHeight="1" x14ac:dyDescent="0.2">
      <c r="A107" s="219">
        <v>91</v>
      </c>
      <c r="B107" s="122" t="s">
        <v>332</v>
      </c>
      <c r="C107" s="122" t="s">
        <v>325</v>
      </c>
      <c r="D107" s="100" t="s">
        <v>318</v>
      </c>
      <c r="E107" s="108" t="s">
        <v>281</v>
      </c>
      <c r="F107" s="111">
        <v>10500</v>
      </c>
      <c r="G107" s="111">
        <v>0</v>
      </c>
      <c r="H107" s="111">
        <f t="shared" si="71"/>
        <v>10500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f t="shared" si="72"/>
        <v>10500</v>
      </c>
    </row>
    <row r="108" spans="1:14" s="1" customFormat="1" ht="32.1" customHeight="1" x14ac:dyDescent="0.2">
      <c r="A108" s="219">
        <v>92</v>
      </c>
      <c r="B108" s="122" t="s">
        <v>664</v>
      </c>
      <c r="C108" s="122" t="s">
        <v>325</v>
      </c>
      <c r="D108" s="100" t="s">
        <v>318</v>
      </c>
      <c r="E108" s="108" t="s">
        <v>281</v>
      </c>
      <c r="F108" s="111">
        <v>25000</v>
      </c>
      <c r="G108" s="111">
        <v>0</v>
      </c>
      <c r="H108" s="111">
        <f t="shared" si="71"/>
        <v>25000</v>
      </c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f t="shared" si="72"/>
        <v>25000</v>
      </c>
    </row>
    <row r="109" spans="1:14" s="1" customFormat="1" ht="32.1" customHeight="1" x14ac:dyDescent="0.2">
      <c r="A109" s="219">
        <v>93</v>
      </c>
      <c r="B109" s="122" t="s">
        <v>332</v>
      </c>
      <c r="C109" s="122" t="s">
        <v>325</v>
      </c>
      <c r="D109" s="100" t="s">
        <v>318</v>
      </c>
      <c r="E109" s="108" t="s">
        <v>281</v>
      </c>
      <c r="F109" s="111">
        <v>10500</v>
      </c>
      <c r="G109" s="111">
        <v>0</v>
      </c>
      <c r="H109" s="111">
        <f t="shared" si="71"/>
        <v>10500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f t="shared" si="72"/>
        <v>10500</v>
      </c>
    </row>
    <row r="110" spans="1:14" s="1" customFormat="1" ht="32.1" customHeight="1" x14ac:dyDescent="0.2">
      <c r="A110" s="219">
        <v>94</v>
      </c>
      <c r="B110" s="122" t="s">
        <v>332</v>
      </c>
      <c r="C110" s="122" t="s">
        <v>325</v>
      </c>
      <c r="D110" s="108" t="s">
        <v>318</v>
      </c>
      <c r="E110" s="108" t="s">
        <v>281</v>
      </c>
      <c r="F110" s="111">
        <v>8500</v>
      </c>
      <c r="G110" s="111">
        <v>0</v>
      </c>
      <c r="H110" s="111">
        <f t="shared" si="71"/>
        <v>8500</v>
      </c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f t="shared" si="72"/>
        <v>8500</v>
      </c>
    </row>
    <row r="111" spans="1:14" s="1" customFormat="1" ht="32.1" customHeight="1" x14ac:dyDescent="0.2">
      <c r="A111" s="219">
        <v>95</v>
      </c>
      <c r="B111" s="122" t="s">
        <v>794</v>
      </c>
      <c r="C111" s="122" t="s">
        <v>939</v>
      </c>
      <c r="D111" s="108" t="s">
        <v>318</v>
      </c>
      <c r="E111" s="108" t="s">
        <v>281</v>
      </c>
      <c r="F111" s="111">
        <v>25000</v>
      </c>
      <c r="G111" s="111">
        <v>0</v>
      </c>
      <c r="H111" s="111">
        <f t="shared" ref="H111:H112" si="73">+F111+G111</f>
        <v>25000</v>
      </c>
      <c r="I111" s="111">
        <v>0</v>
      </c>
      <c r="J111" s="111">
        <v>0</v>
      </c>
      <c r="K111" s="111">
        <v>0</v>
      </c>
      <c r="L111" s="111">
        <v>0</v>
      </c>
      <c r="M111" s="111">
        <v>0</v>
      </c>
      <c r="N111" s="111">
        <f t="shared" ref="N111:N112" si="74">+H111-M111</f>
        <v>25000</v>
      </c>
    </row>
    <row r="112" spans="1:14" s="1" customFormat="1" ht="32.1" customHeight="1" x14ac:dyDescent="0.2">
      <c r="A112" s="219">
        <v>96</v>
      </c>
      <c r="B112" s="122" t="s">
        <v>332</v>
      </c>
      <c r="C112" s="122" t="s">
        <v>325</v>
      </c>
      <c r="D112" s="108" t="s">
        <v>318</v>
      </c>
      <c r="E112" s="108" t="s">
        <v>281</v>
      </c>
      <c r="F112" s="111">
        <v>40000</v>
      </c>
      <c r="G112" s="111">
        <v>0</v>
      </c>
      <c r="H112" s="111">
        <f t="shared" si="73"/>
        <v>40000</v>
      </c>
      <c r="I112" s="111">
        <v>0</v>
      </c>
      <c r="J112" s="111">
        <v>797.25</v>
      </c>
      <c r="K112" s="111">
        <v>0</v>
      </c>
      <c r="L112" s="111">
        <v>0</v>
      </c>
      <c r="M112" s="111">
        <v>797.25</v>
      </c>
      <c r="N112" s="111">
        <f t="shared" si="74"/>
        <v>39202.75</v>
      </c>
    </row>
    <row r="113" spans="1:15" s="7" customFormat="1" ht="36.75" customHeight="1" x14ac:dyDescent="0.2">
      <c r="A113" s="305" t="s">
        <v>455</v>
      </c>
      <c r="B113" s="305"/>
      <c r="C113" s="116">
        <v>45</v>
      </c>
      <c r="D113" s="151"/>
      <c r="E113" s="152"/>
      <c r="F113" s="153">
        <f t="shared" ref="F113:N113" si="75">SUM(F68:F112)</f>
        <v>658000</v>
      </c>
      <c r="G113" s="153">
        <f t="shared" si="75"/>
        <v>0</v>
      </c>
      <c r="H113" s="153">
        <f t="shared" si="75"/>
        <v>658000</v>
      </c>
      <c r="I113" s="153">
        <f t="shared" si="75"/>
        <v>0</v>
      </c>
      <c r="J113" s="153">
        <f t="shared" si="75"/>
        <v>797.25</v>
      </c>
      <c r="K113" s="153">
        <f t="shared" si="75"/>
        <v>0</v>
      </c>
      <c r="L113" s="153">
        <f t="shared" si="75"/>
        <v>2000</v>
      </c>
      <c r="M113" s="153">
        <f t="shared" si="75"/>
        <v>2797.25</v>
      </c>
      <c r="N113" s="153">
        <f t="shared" si="75"/>
        <v>655202.75</v>
      </c>
    </row>
    <row r="114" spans="1:15" ht="36.75" customHeight="1" thickBot="1" x14ac:dyDescent="0.25">
      <c r="A114" s="312" t="s">
        <v>278</v>
      </c>
      <c r="B114" s="309"/>
      <c r="C114" s="310"/>
      <c r="D114" s="310"/>
      <c r="E114" s="311"/>
      <c r="F114" s="192">
        <f t="shared" ref="F114:N114" si="76">+F113+F66+F49+F33</f>
        <v>1381500</v>
      </c>
      <c r="G114" s="192">
        <f t="shared" si="76"/>
        <v>0</v>
      </c>
      <c r="H114" s="192">
        <f t="shared" si="76"/>
        <v>1381500</v>
      </c>
      <c r="I114" s="192">
        <f t="shared" si="76"/>
        <v>0</v>
      </c>
      <c r="J114" s="192">
        <f t="shared" si="76"/>
        <v>2391.75</v>
      </c>
      <c r="K114" s="192">
        <f t="shared" si="76"/>
        <v>0</v>
      </c>
      <c r="L114" s="192">
        <f t="shared" si="76"/>
        <v>2000</v>
      </c>
      <c r="M114" s="192">
        <f t="shared" si="76"/>
        <v>3594.5</v>
      </c>
      <c r="N114" s="192">
        <f t="shared" si="76"/>
        <v>1377108.25</v>
      </c>
    </row>
    <row r="115" spans="1:15" s="16" customFormat="1" ht="32.1" customHeight="1" x14ac:dyDescent="0.2">
      <c r="A115" s="17"/>
      <c r="B115" s="156"/>
      <c r="C115" s="156"/>
      <c r="D115" s="156"/>
      <c r="E115" s="156"/>
      <c r="F115" s="157"/>
      <c r="G115" s="157"/>
      <c r="H115" s="157"/>
      <c r="I115" s="157"/>
      <c r="J115" s="157"/>
      <c r="K115" s="157"/>
      <c r="L115" s="157"/>
      <c r="M115" s="157"/>
      <c r="N115" s="157"/>
    </row>
    <row r="116" spans="1:15" s="1" customFormat="1" ht="32.1" customHeight="1" x14ac:dyDescent="0.2">
      <c r="A116" s="94"/>
      <c r="B116"/>
      <c r="C116"/>
      <c r="D116"/>
      <c r="E116"/>
      <c r="F116" s="158"/>
      <c r="G116"/>
      <c r="H116"/>
      <c r="I116"/>
      <c r="J116"/>
      <c r="K116"/>
      <c r="L116"/>
      <c r="M116"/>
      <c r="N116" s="158"/>
    </row>
    <row r="117" spans="1:15" ht="24.75" customHeight="1" x14ac:dyDescent="0.2"/>
    <row r="118" spans="1:15" ht="21.75" customHeight="1" x14ac:dyDescent="0.2">
      <c r="B118" s="2" t="s">
        <v>20</v>
      </c>
      <c r="C118" s="2"/>
      <c r="D118" s="2"/>
      <c r="E118" s="290" t="s">
        <v>22</v>
      </c>
      <c r="F118" s="290"/>
      <c r="K118" s="290" t="s">
        <v>22</v>
      </c>
      <c r="L118" s="290"/>
      <c r="N118" s="2"/>
    </row>
    <row r="119" spans="1:15" s="2" customFormat="1" ht="21.75" customHeight="1" x14ac:dyDescent="0.2">
      <c r="A119" s="94"/>
      <c r="E119"/>
      <c r="F119"/>
      <c r="G119"/>
      <c r="H119"/>
      <c r="I119"/>
      <c r="J119"/>
      <c r="K119"/>
      <c r="O119"/>
    </row>
    <row r="120" spans="1:15" s="2" customFormat="1" ht="21.75" customHeight="1" x14ac:dyDescent="0.2">
      <c r="A120" s="7"/>
      <c r="E120"/>
      <c r="F120"/>
      <c r="G120"/>
      <c r="H120"/>
      <c r="I120"/>
      <c r="J120"/>
      <c r="K120"/>
      <c r="L120"/>
      <c r="M120"/>
      <c r="N120"/>
    </row>
    <row r="121" spans="1:15" s="2" customFormat="1" ht="21.75" customHeight="1" x14ac:dyDescent="0.2">
      <c r="A121" s="7"/>
      <c r="B121" s="139"/>
      <c r="E121" s="139"/>
      <c r="F121" s="159"/>
      <c r="G121"/>
      <c r="H121"/>
      <c r="I121"/>
      <c r="J121"/>
      <c r="K121" s="140"/>
      <c r="L121" s="140"/>
      <c r="M121"/>
      <c r="N121"/>
    </row>
    <row r="122" spans="1:15" ht="21.75" customHeight="1" x14ac:dyDescent="0.2">
      <c r="A122" s="7"/>
      <c r="B122" s="2" t="s">
        <v>21</v>
      </c>
      <c r="C122" s="2"/>
      <c r="D122" s="2"/>
      <c r="E122" s="297" t="s">
        <v>24</v>
      </c>
      <c r="F122" s="297"/>
      <c r="K122" s="290" t="s">
        <v>23</v>
      </c>
      <c r="L122" s="290"/>
    </row>
    <row r="123" spans="1:15" ht="21.75" customHeight="1" x14ac:dyDescent="0.2">
      <c r="A123" s="7"/>
    </row>
    <row r="124" spans="1:15" ht="21.75" customHeight="1" x14ac:dyDescent="0.2">
      <c r="A124" s="1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5" ht="21.75" customHeight="1" x14ac:dyDescent="0.2">
      <c r="A125" s="25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5" ht="21.75" customHeight="1" x14ac:dyDescent="0.2">
      <c r="A126" s="2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5" ht="21.75" customHeight="1" x14ac:dyDescent="0.2">
      <c r="A127" s="25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5" ht="21.75" customHeight="1" x14ac:dyDescent="0.2">
      <c r="A128" s="25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21.75" customHeight="1" x14ac:dyDescent="0.2">
      <c r="A129" s="25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4.25" x14ac:dyDescent="0.2">
      <c r="A130" s="25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4.25" x14ac:dyDescent="0.2">
      <c r="A131" s="25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4.25" x14ac:dyDescent="0.2">
      <c r="A132" s="25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4.25" x14ac:dyDescent="0.2">
      <c r="A133" s="2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4.25" x14ac:dyDescent="0.2">
      <c r="A134" s="9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ht="14.25" x14ac:dyDescent="0.2">
      <c r="A135" s="9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s="1" customFormat="1" ht="36" customHeight="1" x14ac:dyDescent="0.2">
      <c r="A136" s="25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s="1" customFormat="1" ht="36" customHeight="1" x14ac:dyDescent="0.2">
      <c r="A137" s="2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4.25" x14ac:dyDescent="0.2">
      <c r="A138" s="25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36" customHeight="1" x14ac:dyDescent="0.2">
      <c r="A139" s="2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36" customHeight="1" x14ac:dyDescent="0.2">
      <c r="A140" s="2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36" customHeight="1" x14ac:dyDescent="0.2">
      <c r="A141" s="25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36" customHeight="1" x14ac:dyDescent="0.2">
      <c r="A142" s="2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4.25" x14ac:dyDescent="0.2">
      <c r="A143" s="25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4.25" x14ac:dyDescent="0.2">
      <c r="A144" s="25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4.25" x14ac:dyDescent="0.2">
      <c r="A145" s="25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4.25" x14ac:dyDescent="0.2">
      <c r="A146" s="25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4.25" x14ac:dyDescent="0.2">
      <c r="A147" s="25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4.25" x14ac:dyDescent="0.2">
      <c r="A148" s="9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14.25" x14ac:dyDescent="0.2">
      <c r="A149" s="9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s="3" customFormat="1" ht="36" customHeight="1" x14ac:dyDescent="0.2">
      <c r="A150" s="9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s="3" customFormat="1" ht="36" customHeight="1" x14ac:dyDescent="0.2">
      <c r="A151" s="9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s="3" customFormat="1" ht="36" customHeight="1" x14ac:dyDescent="0.2">
      <c r="A152" s="9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s="3" customFormat="1" ht="36" customHeight="1" x14ac:dyDescent="0.2">
      <c r="A153" s="9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s="3" customFormat="1" ht="36" customHeight="1" x14ac:dyDescent="0.2">
      <c r="A154" s="9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s="3" customFormat="1" ht="36" customHeight="1" x14ac:dyDescent="0.2">
      <c r="A155" s="9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s="3" customFormat="1" ht="36" customHeight="1" x14ac:dyDescent="0.2">
      <c r="A156" s="9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s="3" customFormat="1" ht="36" customHeight="1" x14ac:dyDescent="0.2">
      <c r="A157" s="9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s="3" customFormat="1" ht="36" customHeight="1" x14ac:dyDescent="0.2">
      <c r="A158" s="9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s="3" customFormat="1" ht="36" customHeight="1" x14ac:dyDescent="0.2">
      <c r="A159" s="9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s="3" customFormat="1" ht="36" customHeight="1" x14ac:dyDescent="0.2">
      <c r="A160" s="9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s="3" customFormat="1" ht="36" customHeight="1" x14ac:dyDescent="0.2">
      <c r="A161" s="93"/>
    </row>
    <row r="162" spans="1:14" s="3" customFormat="1" ht="36" customHeight="1" x14ac:dyDescent="0.2">
      <c r="A162" s="94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s="3" customFormat="1" ht="36" customHeight="1" x14ac:dyDescent="0.2">
      <c r="A163" s="94"/>
      <c r="B163"/>
      <c r="C163"/>
      <c r="D163"/>
      <c r="E163"/>
      <c r="F163"/>
      <c r="G163"/>
      <c r="H163"/>
      <c r="I163"/>
      <c r="J163"/>
      <c r="K163"/>
      <c r="L163"/>
      <c r="M163"/>
      <c r="N163"/>
    </row>
  </sheetData>
  <mergeCells count="16">
    <mergeCell ref="A2:N2"/>
    <mergeCell ref="A4:N4"/>
    <mergeCell ref="K118:L118"/>
    <mergeCell ref="E118:F118"/>
    <mergeCell ref="A67:N67"/>
    <mergeCell ref="A113:B113"/>
    <mergeCell ref="A10:N10"/>
    <mergeCell ref="A33:B33"/>
    <mergeCell ref="A34:N34"/>
    <mergeCell ref="A49:B49"/>
    <mergeCell ref="A50:N50"/>
    <mergeCell ref="A66:B66"/>
    <mergeCell ref="B7:M7"/>
    <mergeCell ref="K122:L122"/>
    <mergeCell ref="A5:N5"/>
    <mergeCell ref="E122:F122"/>
  </mergeCells>
  <phoneticPr fontId="4" type="noConversion"/>
  <printOptions horizontalCentered="1"/>
  <pageMargins left="1" right="1" top="1" bottom="1" header="0.5" footer="0.5"/>
  <pageSetup paperSize="5" scale="65" fitToHeight="0" orientation="landscape" verticalDpi="4294967295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87"/>
  <sheetViews>
    <sheetView showGridLines="0" topLeftCell="A64" zoomScale="91" zoomScaleNormal="91" zoomScaleSheetLayoutView="96" workbookViewId="0">
      <selection activeCell="C70" sqref="C69:C70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4"/>
      <c r="M11" s="94"/>
      <c r="N11" s="2"/>
      <c r="O11" s="2"/>
      <c r="P11" s="2"/>
      <c r="Q11" s="2"/>
    </row>
    <row r="12" spans="1:17" x14ac:dyDescent="0.2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</row>
    <row r="13" spans="1:17" x14ac:dyDescent="0.2">
      <c r="A13" s="286" t="s">
        <v>9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</row>
    <row r="14" spans="1:17" ht="18.75" customHeight="1" x14ac:dyDescent="0.2">
      <c r="A14" s="286" t="s">
        <v>1004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4"/>
      <c r="M15" s="94"/>
      <c r="N15" s="2"/>
      <c r="O15" s="2"/>
      <c r="P15" s="2"/>
      <c r="Q15" s="2"/>
    </row>
    <row r="16" spans="1:17" x14ac:dyDescent="0.2">
      <c r="A16" s="160"/>
      <c r="B16" s="290" t="s">
        <v>667</v>
      </c>
      <c r="C16" s="290"/>
      <c r="D16" s="290"/>
      <c r="E16" s="290"/>
      <c r="F16" s="290"/>
      <c r="G16" s="290"/>
      <c r="H16" s="290"/>
      <c r="I16" s="290"/>
      <c r="J16" s="290"/>
      <c r="K16" s="291"/>
      <c r="L16" s="292"/>
      <c r="M16" s="293"/>
      <c r="N16" s="290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4"/>
      <c r="M17" s="94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4"/>
      <c r="M18" s="94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6" t="s">
        <v>8</v>
      </c>
      <c r="B20" s="87" t="s">
        <v>5</v>
      </c>
      <c r="C20" s="87" t="s">
        <v>17</v>
      </c>
      <c r="D20" s="87" t="s">
        <v>6</v>
      </c>
      <c r="E20" s="87" t="s">
        <v>7</v>
      </c>
      <c r="F20" s="87" t="s">
        <v>18</v>
      </c>
      <c r="G20" s="87" t="s">
        <v>13</v>
      </c>
      <c r="H20" s="87" t="s">
        <v>14</v>
      </c>
      <c r="I20" s="87" t="s">
        <v>12</v>
      </c>
      <c r="J20" s="87" t="s">
        <v>319</v>
      </c>
      <c r="K20" s="87" t="s">
        <v>324</v>
      </c>
      <c r="L20" s="87" t="s">
        <v>0</v>
      </c>
      <c r="M20" s="87" t="s">
        <v>1</v>
      </c>
      <c r="N20" s="87" t="s">
        <v>2</v>
      </c>
      <c r="O20" s="87" t="s">
        <v>321</v>
      </c>
      <c r="P20" s="87" t="s">
        <v>322</v>
      </c>
      <c r="Q20" s="97" t="s">
        <v>10</v>
      </c>
    </row>
    <row r="21" spans="1:17" s="7" customFormat="1" ht="36.75" customHeight="1" x14ac:dyDescent="0.2">
      <c r="A21" s="303" t="s">
        <v>937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6"/>
    </row>
    <row r="22" spans="1:17" s="7" customFormat="1" ht="38.25" customHeight="1" x14ac:dyDescent="0.2">
      <c r="A22" s="199">
        <v>1</v>
      </c>
      <c r="B22" s="122" t="s">
        <v>265</v>
      </c>
      <c r="C22" s="122" t="s">
        <v>412</v>
      </c>
      <c r="D22" s="122" t="s">
        <v>938</v>
      </c>
      <c r="E22" s="108" t="s">
        <v>326</v>
      </c>
      <c r="F22" s="108" t="s">
        <v>19</v>
      </c>
      <c r="G22" s="123">
        <v>45809</v>
      </c>
      <c r="H22" s="123">
        <v>45992</v>
      </c>
      <c r="I22" s="112">
        <v>145000</v>
      </c>
      <c r="J22" s="112">
        <v>0</v>
      </c>
      <c r="K22" s="112">
        <f>SUM(I22:J22)</f>
        <v>145000</v>
      </c>
      <c r="L22" s="112">
        <f>IF(K22&gt;=[1]Datos!$D$14,([1]Datos!$D$14*[1]Datos!$C$14),IF(K22&lt;=[1]Datos!$D$14,(K22*[1]Datos!$C$14)))</f>
        <v>4161.5</v>
      </c>
      <c r="M22" s="112">
        <v>22690.49</v>
      </c>
      <c r="N22" s="112">
        <v>4408</v>
      </c>
      <c r="O22" s="112">
        <v>25</v>
      </c>
      <c r="P22" s="112">
        <f t="shared" ref="P22" si="0">SUM(L22:O22)</f>
        <v>31284.99</v>
      </c>
      <c r="Q22" s="202">
        <f>+K22-P22</f>
        <v>113715.01</v>
      </c>
    </row>
    <row r="23" spans="1:17" s="85" customFormat="1" ht="36.75" customHeight="1" x14ac:dyDescent="0.2">
      <c r="A23" s="303" t="s">
        <v>455</v>
      </c>
      <c r="B23" s="305"/>
      <c r="C23" s="116">
        <v>1</v>
      </c>
      <c r="D23" s="116"/>
      <c r="E23" s="190"/>
      <c r="F23" s="117"/>
      <c r="G23" s="118"/>
      <c r="H23" s="119"/>
      <c r="I23" s="120">
        <f t="shared" ref="I23:Q23" si="1">SUM(I21:I22)</f>
        <v>145000</v>
      </c>
      <c r="J23" s="120">
        <f t="shared" si="1"/>
        <v>0</v>
      </c>
      <c r="K23" s="120">
        <f t="shared" si="1"/>
        <v>145000</v>
      </c>
      <c r="L23" s="120">
        <f t="shared" si="1"/>
        <v>4161.5</v>
      </c>
      <c r="M23" s="120">
        <f t="shared" si="1"/>
        <v>22690.49</v>
      </c>
      <c r="N23" s="120">
        <f t="shared" si="1"/>
        <v>4408</v>
      </c>
      <c r="O23" s="120">
        <f t="shared" si="1"/>
        <v>25</v>
      </c>
      <c r="P23" s="120">
        <f t="shared" si="1"/>
        <v>31284.99</v>
      </c>
      <c r="Q23" s="120">
        <f t="shared" si="1"/>
        <v>113715.01</v>
      </c>
    </row>
    <row r="24" spans="1:17" s="7" customFormat="1" ht="36.75" customHeight="1" x14ac:dyDescent="0.2">
      <c r="A24" s="303" t="s">
        <v>488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6"/>
    </row>
    <row r="25" spans="1:17" s="7" customFormat="1" ht="38.25" customHeight="1" x14ac:dyDescent="0.2">
      <c r="A25" s="199">
        <v>2</v>
      </c>
      <c r="B25" s="122" t="s">
        <v>363</v>
      </c>
      <c r="C25" s="122" t="s">
        <v>412</v>
      </c>
      <c r="D25" s="122" t="s">
        <v>429</v>
      </c>
      <c r="E25" s="108" t="s">
        <v>326</v>
      </c>
      <c r="F25" s="108" t="s">
        <v>19</v>
      </c>
      <c r="G25" s="123">
        <v>45108</v>
      </c>
      <c r="H25" s="123">
        <v>45261</v>
      </c>
      <c r="I25" s="112">
        <v>218250</v>
      </c>
      <c r="J25" s="112">
        <v>0</v>
      </c>
      <c r="K25" s="112">
        <f>SUM(I25:J25)</f>
        <v>218250</v>
      </c>
      <c r="L25" s="112">
        <f>IF(K25&gt;=[1]Datos!$D$14,([1]Datos!$D$14*[1]Datos!$C$14),IF(K25&lt;=[1]Datos!$D$14,(K25*[1]Datos!$C$14)))</f>
        <v>6263.7749999999996</v>
      </c>
      <c r="M25" s="112">
        <v>39932.14</v>
      </c>
      <c r="N25" s="112">
        <v>6589.14</v>
      </c>
      <c r="O25" s="112">
        <v>25</v>
      </c>
      <c r="P25" s="112">
        <f t="shared" ref="P25" si="2">SUM(L25:O25)</f>
        <v>52810.055</v>
      </c>
      <c r="Q25" s="202">
        <f>+K25-P25</f>
        <v>165439.94500000001</v>
      </c>
    </row>
    <row r="26" spans="1:17" s="85" customFormat="1" ht="36.75" customHeight="1" x14ac:dyDescent="0.2">
      <c r="A26" s="303" t="s">
        <v>455</v>
      </c>
      <c r="B26" s="305"/>
      <c r="C26" s="116">
        <v>1</v>
      </c>
      <c r="D26" s="116"/>
      <c r="E26" s="190"/>
      <c r="F26" s="117"/>
      <c r="G26" s="118"/>
      <c r="H26" s="119"/>
      <c r="I26" s="120">
        <f t="shared" ref="I26:Q26" si="3">SUM(I24:I25)</f>
        <v>218250</v>
      </c>
      <c r="J26" s="120">
        <f t="shared" si="3"/>
        <v>0</v>
      </c>
      <c r="K26" s="120">
        <f t="shared" si="3"/>
        <v>218250</v>
      </c>
      <c r="L26" s="120">
        <f t="shared" si="3"/>
        <v>6263.7749999999996</v>
      </c>
      <c r="M26" s="120">
        <f t="shared" si="3"/>
        <v>39932.14</v>
      </c>
      <c r="N26" s="120">
        <f t="shared" si="3"/>
        <v>6589.14</v>
      </c>
      <c r="O26" s="120">
        <f t="shared" si="3"/>
        <v>25</v>
      </c>
      <c r="P26" s="120">
        <f t="shared" si="3"/>
        <v>52810.055</v>
      </c>
      <c r="Q26" s="120">
        <f t="shared" si="3"/>
        <v>165439.94500000001</v>
      </c>
    </row>
    <row r="27" spans="1:17" ht="29.25" customHeight="1" x14ac:dyDescent="0.2">
      <c r="A27" s="294" t="s">
        <v>652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6"/>
    </row>
    <row r="28" spans="1:17" s="7" customFormat="1" ht="38.25" customHeight="1" x14ac:dyDescent="0.2">
      <c r="A28" s="199">
        <v>3</v>
      </c>
      <c r="B28" s="200" t="s">
        <v>327</v>
      </c>
      <c r="C28" s="122" t="s">
        <v>412</v>
      </c>
      <c r="D28" s="165" t="s">
        <v>427</v>
      </c>
      <c r="E28" s="108" t="s">
        <v>326</v>
      </c>
      <c r="F28" s="108" t="s">
        <v>19</v>
      </c>
      <c r="G28" s="109">
        <v>45627</v>
      </c>
      <c r="H28" s="123">
        <v>45809</v>
      </c>
      <c r="I28" s="112">
        <v>180000</v>
      </c>
      <c r="J28" s="112">
        <v>0</v>
      </c>
      <c r="K28" s="198">
        <f t="shared" ref="K28" si="4">SUM(I28:J28)</f>
        <v>180000</v>
      </c>
      <c r="L28" s="201">
        <f>IF(K28&gt;=[1]Datos!$D$14,([1]Datos!$D$14*[1]Datos!$C$14),IF(K28&lt;=[1]Datos!$D$14,(K28*[1]Datos!$C$14)))</f>
        <v>5166</v>
      </c>
      <c r="M28" s="112">
        <v>30923.37</v>
      </c>
      <c r="N28" s="112">
        <v>5472</v>
      </c>
      <c r="O28" s="112">
        <v>25</v>
      </c>
      <c r="P28" s="112">
        <f t="shared" ref="P28" si="5">SUM(L28:O28)</f>
        <v>41586.369999999995</v>
      </c>
      <c r="Q28" s="202">
        <f t="shared" ref="Q28" si="6">+K28-P28</f>
        <v>138413.63</v>
      </c>
    </row>
    <row r="29" spans="1:17" s="7" customFormat="1" ht="38.25" customHeight="1" x14ac:dyDescent="0.2">
      <c r="A29" s="199">
        <v>4</v>
      </c>
      <c r="B29" s="147" t="s">
        <v>802</v>
      </c>
      <c r="C29" s="122" t="s">
        <v>412</v>
      </c>
      <c r="D29" s="147" t="s">
        <v>481</v>
      </c>
      <c r="E29" s="108" t="s">
        <v>326</v>
      </c>
      <c r="F29" s="108" t="s">
        <v>281</v>
      </c>
      <c r="G29" s="123">
        <v>45170</v>
      </c>
      <c r="H29" s="123">
        <v>45352</v>
      </c>
      <c r="I29" s="203">
        <v>140000</v>
      </c>
      <c r="J29" s="112">
        <v>0</v>
      </c>
      <c r="K29" s="198">
        <f t="shared" ref="K29" si="7">SUM(I29:J29)</f>
        <v>140000</v>
      </c>
      <c r="L29" s="112">
        <f>IF(K29&gt;=[1]Datos!$D$14,([1]Datos!$D$14*[1]Datos!$C$14),IF(K29&lt;=[1]Datos!$D$14,(K29*[1]Datos!$C$14)))</f>
        <v>4018</v>
      </c>
      <c r="M29" s="112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21514.360666666667</v>
      </c>
      <c r="N29" s="112">
        <f>IF(I29&gt;=Datos!$D$15,(Datos!$D$15*Datos!$C$15),IF(I29&lt;=Datos!$D$15,(I29*Datos!$C$15)))</f>
        <v>4256</v>
      </c>
      <c r="O29" s="112">
        <v>25</v>
      </c>
      <c r="P29" s="112">
        <f t="shared" ref="P29" si="8">SUM(L29:O29)</f>
        <v>29813.360666666667</v>
      </c>
      <c r="Q29" s="202">
        <f t="shared" ref="Q29" si="9">+K29-P29</f>
        <v>110186.63933333333</v>
      </c>
    </row>
    <row r="30" spans="1:17" s="85" customFormat="1" ht="36.75" customHeight="1" x14ac:dyDescent="0.2">
      <c r="A30" s="303" t="s">
        <v>455</v>
      </c>
      <c r="B30" s="305"/>
      <c r="C30" s="116">
        <v>2</v>
      </c>
      <c r="D30" s="116"/>
      <c r="E30" s="190"/>
      <c r="F30" s="117"/>
      <c r="G30" s="118"/>
      <c r="H30" s="119"/>
      <c r="I30" s="120">
        <f t="shared" ref="I30:Q30" si="10">SUM(I28:I29)</f>
        <v>320000</v>
      </c>
      <c r="J30" s="120">
        <f t="shared" si="10"/>
        <v>0</v>
      </c>
      <c r="K30" s="120">
        <f t="shared" si="10"/>
        <v>320000</v>
      </c>
      <c r="L30" s="120">
        <f t="shared" si="10"/>
        <v>9184</v>
      </c>
      <c r="M30" s="120">
        <f t="shared" si="10"/>
        <v>52437.73066666667</v>
      </c>
      <c r="N30" s="120">
        <f t="shared" si="10"/>
        <v>9728</v>
      </c>
      <c r="O30" s="120">
        <f t="shared" si="10"/>
        <v>50</v>
      </c>
      <c r="P30" s="120">
        <f t="shared" si="10"/>
        <v>71399.73066666667</v>
      </c>
      <c r="Q30" s="120">
        <f t="shared" si="10"/>
        <v>248600.26933333333</v>
      </c>
    </row>
    <row r="31" spans="1:17" s="7" customFormat="1" ht="36.75" customHeight="1" x14ac:dyDescent="0.2">
      <c r="A31" s="303" t="s">
        <v>489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6"/>
    </row>
    <row r="32" spans="1:17" s="7" customFormat="1" ht="38.25" customHeight="1" x14ac:dyDescent="0.2">
      <c r="A32" s="199">
        <v>5</v>
      </c>
      <c r="B32" s="204" t="s">
        <v>799</v>
      </c>
      <c r="C32" s="127" t="s">
        <v>412</v>
      </c>
      <c r="D32" s="127" t="s">
        <v>800</v>
      </c>
      <c r="E32" s="108" t="s">
        <v>326</v>
      </c>
      <c r="F32" s="108" t="s">
        <v>281</v>
      </c>
      <c r="G32" s="109">
        <v>45689</v>
      </c>
      <c r="H32" s="123">
        <v>45717</v>
      </c>
      <c r="I32" s="128">
        <v>30000</v>
      </c>
      <c r="J32" s="112">
        <v>0</v>
      </c>
      <c r="K32" s="128">
        <f>SUM(I32:J32)</f>
        <v>30000</v>
      </c>
      <c r="L32" s="205">
        <f>IF(K32&gt;=[1]Datos!$D$14,([1]Datos!$D$14*[1]Datos!$C$14),IF(K32&lt;=[1]Datos!$D$14,(K32*[1]Datos!$C$14)))</f>
        <v>861</v>
      </c>
      <c r="M32" s="206" t="str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0</v>
      </c>
      <c r="N32" s="205">
        <f>IF(I32&gt;=Datos!$D$15,(Datos!$D$15*Datos!$C$15),IF(I32&lt;=Datos!$D$15,(I32*Datos!$C$15)))</f>
        <v>912</v>
      </c>
      <c r="O32" s="112">
        <v>25</v>
      </c>
      <c r="P32" s="112">
        <f t="shared" ref="P32" si="11">SUM(L32:O32)</f>
        <v>1798</v>
      </c>
      <c r="Q32" s="202">
        <f t="shared" ref="Q32:Q37" si="12">+I32-P32</f>
        <v>28202</v>
      </c>
    </row>
    <row r="33" spans="1:17" s="7" customFormat="1" ht="38.25" customHeight="1" x14ac:dyDescent="0.2">
      <c r="A33" s="199">
        <v>6</v>
      </c>
      <c r="B33" s="204" t="s">
        <v>803</v>
      </c>
      <c r="C33" s="127" t="s">
        <v>412</v>
      </c>
      <c r="D33" s="127" t="s">
        <v>800</v>
      </c>
      <c r="E33" s="108" t="s">
        <v>326</v>
      </c>
      <c r="F33" s="108" t="s">
        <v>281</v>
      </c>
      <c r="G33" s="109">
        <v>45717</v>
      </c>
      <c r="H33" s="123">
        <v>45901</v>
      </c>
      <c r="I33" s="128">
        <v>50000</v>
      </c>
      <c r="J33" s="112">
        <v>0</v>
      </c>
      <c r="K33" s="128">
        <f>SUM(I33:J33)</f>
        <v>50000</v>
      </c>
      <c r="L33" s="205">
        <f>IF(K33&gt;=[1]Datos!$D$14,([1]Datos!$D$14*[1]Datos!$C$14),IF(K33&lt;=[1]Datos!$D$14,(K33*[1]Datos!$C$14)))</f>
        <v>1435</v>
      </c>
      <c r="M33" s="206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205">
        <f>IF(I33&gt;=Datos!$D$15,(Datos!$D$15*Datos!$C$15),IF(I33&lt;=Datos!$D$15,(I33*Datos!$C$15)))</f>
        <v>1520</v>
      </c>
      <c r="O33" s="112">
        <v>25</v>
      </c>
      <c r="P33" s="112">
        <f t="shared" ref="P33" si="13">SUM(L33:O33)</f>
        <v>4833.9984999999997</v>
      </c>
      <c r="Q33" s="202">
        <f t="shared" si="12"/>
        <v>45166.001499999998</v>
      </c>
    </row>
    <row r="34" spans="1:17" s="7" customFormat="1" ht="38.25" customHeight="1" x14ac:dyDescent="0.2">
      <c r="A34" s="199">
        <v>7</v>
      </c>
      <c r="B34" s="204" t="s">
        <v>570</v>
      </c>
      <c r="C34" s="127" t="s">
        <v>412</v>
      </c>
      <c r="D34" s="127" t="s">
        <v>344</v>
      </c>
      <c r="E34" s="108" t="s">
        <v>326</v>
      </c>
      <c r="F34" s="108" t="s">
        <v>19</v>
      </c>
      <c r="G34" s="109">
        <v>45627</v>
      </c>
      <c r="H34" s="123">
        <v>45809</v>
      </c>
      <c r="I34" s="128">
        <v>125000</v>
      </c>
      <c r="J34" s="112">
        <v>0</v>
      </c>
      <c r="K34" s="128">
        <f>SUM(I34:J34)</f>
        <v>125000</v>
      </c>
      <c r="L34" s="205">
        <f>IF(K34&gt;=[1]Datos!$D$14,([1]Datos!$D$14*[1]Datos!$C$14),IF(K34&lt;=[1]Datos!$D$14,(K34*[1]Datos!$C$14)))</f>
        <v>3587.5</v>
      </c>
      <c r="M34" s="206">
        <f>IF((I34-L34-N34)&lt;=Datos!$G$7,"0",IF((I34-L34-N34)&lt;=Datos!$G$8,((I34-L34-N34)-Datos!$F$8)*Datos!$I$6,IF((I34-L34-N34)&lt;=Datos!$G$9,Datos!$I$8+((I34-L34-N34)-Datos!$F$9)*Datos!$J$6,IF((I34-L34-N34)&gt;=Datos!$F$10,(Datos!$I$8+Datos!$J$8)+((I34-L34-N34)-Datos!$F$10)*Datos!$K$6))))</f>
        <v>17985.985666666667</v>
      </c>
      <c r="N34" s="205">
        <f>IF(I34&gt;=Datos!$D$15,(Datos!$D$15*Datos!$C$15),IF(I34&lt;=Datos!$D$15,(I34*Datos!$C$15)))</f>
        <v>3800</v>
      </c>
      <c r="O34" s="112">
        <v>25</v>
      </c>
      <c r="P34" s="112">
        <f t="shared" ref="P34" si="14">SUM(L34:O34)</f>
        <v>25398.485666666667</v>
      </c>
      <c r="Q34" s="202">
        <f t="shared" si="12"/>
        <v>99601.514333333325</v>
      </c>
    </row>
    <row r="35" spans="1:17" s="7" customFormat="1" ht="38.25" customHeight="1" x14ac:dyDescent="0.2">
      <c r="A35" s="199">
        <v>8</v>
      </c>
      <c r="B35" s="204" t="s">
        <v>343</v>
      </c>
      <c r="C35" s="127" t="s">
        <v>412</v>
      </c>
      <c r="D35" s="127" t="s">
        <v>344</v>
      </c>
      <c r="E35" s="108" t="s">
        <v>326</v>
      </c>
      <c r="F35" s="108" t="s">
        <v>19</v>
      </c>
      <c r="G35" s="109">
        <v>45017</v>
      </c>
      <c r="H35" s="123">
        <v>45200</v>
      </c>
      <c r="I35" s="128">
        <v>125000</v>
      </c>
      <c r="J35" s="112">
        <v>0</v>
      </c>
      <c r="K35" s="128">
        <f>SUM(I35:J35)</f>
        <v>125000</v>
      </c>
      <c r="L35" s="205">
        <f>IF(K35&gt;=[1]Datos!$D$14,([1]Datos!$D$14*[1]Datos!$C$14),IF(K35&lt;=[1]Datos!$D$14,(K35*[1]Datos!$C$14)))</f>
        <v>3587.5</v>
      </c>
      <c r="M35" s="206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17985.985666666667</v>
      </c>
      <c r="N35" s="205">
        <f>IF(I35&gt;=Datos!$D$15,(Datos!$D$15*Datos!$C$15),IF(I35&lt;=Datos!$D$15,(I35*Datos!$C$15)))</f>
        <v>3800</v>
      </c>
      <c r="O35" s="112">
        <v>25</v>
      </c>
      <c r="P35" s="112">
        <f t="shared" ref="P35" si="15">SUM(L35:O35)</f>
        <v>25398.485666666667</v>
      </c>
      <c r="Q35" s="202">
        <f t="shared" si="12"/>
        <v>99601.514333333325</v>
      </c>
    </row>
    <row r="36" spans="1:17" s="7" customFormat="1" ht="38.25" customHeight="1" x14ac:dyDescent="0.2">
      <c r="A36" s="199">
        <v>9</v>
      </c>
      <c r="B36" s="204" t="s">
        <v>569</v>
      </c>
      <c r="C36" s="127" t="s">
        <v>332</v>
      </c>
      <c r="D36" s="127" t="s">
        <v>654</v>
      </c>
      <c r="E36" s="108" t="s">
        <v>326</v>
      </c>
      <c r="F36" s="108" t="s">
        <v>281</v>
      </c>
      <c r="G36" s="109">
        <v>45444</v>
      </c>
      <c r="H36" s="123">
        <v>45627</v>
      </c>
      <c r="I36" s="128">
        <v>50000</v>
      </c>
      <c r="J36" s="112">
        <v>0</v>
      </c>
      <c r="K36" s="128">
        <f>SUM(I36:J36)</f>
        <v>50000</v>
      </c>
      <c r="L36" s="205">
        <f>IF(K36&gt;=[1]Datos!$D$14,([1]Datos!$D$14*[1]Datos!$C$14),IF(K36&lt;=[1]Datos!$D$14,(K36*[1]Datos!$C$14)))</f>
        <v>1435</v>
      </c>
      <c r="M36" s="206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1853.9984999999997</v>
      </c>
      <c r="N36" s="205">
        <f>IF(I36&gt;=Datos!$D$15,(Datos!$D$15*Datos!$C$15),IF(I36&lt;=Datos!$D$15,(I36*Datos!$C$15)))</f>
        <v>1520</v>
      </c>
      <c r="O36" s="112">
        <v>25</v>
      </c>
      <c r="P36" s="112">
        <f t="shared" ref="P36:P37" si="16">SUM(L36:O36)</f>
        <v>4833.9984999999997</v>
      </c>
      <c r="Q36" s="202">
        <f t="shared" si="12"/>
        <v>45166.001499999998</v>
      </c>
    </row>
    <row r="37" spans="1:17" s="7" customFormat="1" ht="38.25" customHeight="1" x14ac:dyDescent="0.2">
      <c r="A37" s="199">
        <v>10</v>
      </c>
      <c r="B37" s="122" t="s">
        <v>999</v>
      </c>
      <c r="C37" s="122" t="s">
        <v>412</v>
      </c>
      <c r="D37" s="122" t="s">
        <v>256</v>
      </c>
      <c r="E37" s="108" t="s">
        <v>326</v>
      </c>
      <c r="F37" s="108" t="s">
        <v>281</v>
      </c>
      <c r="G37" s="123">
        <v>45809</v>
      </c>
      <c r="H37" s="123">
        <v>45992</v>
      </c>
      <c r="I37" s="112">
        <v>45000</v>
      </c>
      <c r="J37" s="112">
        <v>0</v>
      </c>
      <c r="K37" s="198">
        <f>+I37+J37</f>
        <v>45000</v>
      </c>
      <c r="L37" s="112">
        <f>IF(K37&gt;=[1]Datos!$D$14,([1]Datos!$D$14*[1]Datos!$C$14),IF(K37&lt;=[1]Datos!$D$14,(K37*[1]Datos!$C$14)))</f>
        <v>1291.5</v>
      </c>
      <c r="M37" s="112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1148.3234999999997</v>
      </c>
      <c r="N37" s="112">
        <f>IF(I37&gt;=Datos!$D$15,(Datos!$D$15*Datos!$C$15),IF(I37&lt;=Datos!$D$15,(I37*Datos!$C$15)))</f>
        <v>1368</v>
      </c>
      <c r="O37" s="112">
        <v>25</v>
      </c>
      <c r="P37" s="112">
        <f t="shared" si="16"/>
        <v>3832.8234999999995</v>
      </c>
      <c r="Q37" s="202">
        <f t="shared" si="12"/>
        <v>41167.176500000001</v>
      </c>
    </row>
    <row r="38" spans="1:17" s="85" customFormat="1" ht="36.75" customHeight="1" x14ac:dyDescent="0.2">
      <c r="A38" s="303" t="s">
        <v>455</v>
      </c>
      <c r="B38" s="305"/>
      <c r="C38" s="116">
        <v>6</v>
      </c>
      <c r="D38" s="116"/>
      <c r="E38" s="190"/>
      <c r="F38" s="117"/>
      <c r="G38" s="118"/>
      <c r="H38" s="119"/>
      <c r="I38" s="120">
        <f t="shared" ref="I38:Q38" si="17">SUM(I32:I37)</f>
        <v>425000</v>
      </c>
      <c r="J38" s="120">
        <f t="shared" si="17"/>
        <v>0</v>
      </c>
      <c r="K38" s="120">
        <f t="shared" si="17"/>
        <v>425000</v>
      </c>
      <c r="L38" s="120">
        <f t="shared" si="17"/>
        <v>12197.5</v>
      </c>
      <c r="M38" s="120">
        <f t="shared" si="17"/>
        <v>40828.291833333336</v>
      </c>
      <c r="N38" s="120">
        <f t="shared" si="17"/>
        <v>12920</v>
      </c>
      <c r="O38" s="120">
        <f t="shared" si="17"/>
        <v>150</v>
      </c>
      <c r="P38" s="120">
        <f t="shared" si="17"/>
        <v>66095.791833333336</v>
      </c>
      <c r="Q38" s="120">
        <f t="shared" si="17"/>
        <v>358904.20816666662</v>
      </c>
    </row>
    <row r="39" spans="1:17" s="7" customFormat="1" ht="36.75" customHeight="1" x14ac:dyDescent="0.2">
      <c r="A39" s="303" t="s">
        <v>475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</row>
    <row r="40" spans="1:17" s="7" customFormat="1" ht="38.25" customHeight="1" x14ac:dyDescent="0.2">
      <c r="A40" s="199">
        <v>11</v>
      </c>
      <c r="B40" s="122" t="s">
        <v>360</v>
      </c>
      <c r="C40" s="122" t="s">
        <v>412</v>
      </c>
      <c r="D40" s="122" t="s">
        <v>428</v>
      </c>
      <c r="E40" s="108" t="s">
        <v>326</v>
      </c>
      <c r="F40" s="108" t="s">
        <v>281</v>
      </c>
      <c r="G40" s="123">
        <v>45108</v>
      </c>
      <c r="H40" s="123">
        <v>45292</v>
      </c>
      <c r="I40" s="112">
        <v>120000</v>
      </c>
      <c r="J40" s="112">
        <v>0</v>
      </c>
      <c r="K40" s="112">
        <f>SUM(I40:J40)</f>
        <v>120000</v>
      </c>
      <c r="L40" s="112">
        <f>IF(K40&gt;=[1]Datos!$D$14,([1]Datos!$D$14*[1]Datos!$C$14),IF(K40&lt;=[1]Datos!$D$14,(K40*[1]Datos!$C$14)))</f>
        <v>3444</v>
      </c>
      <c r="M40" s="112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16809.860666666667</v>
      </c>
      <c r="N40" s="112">
        <f>IF(I40&gt;=Datos!$D$15,(Datos!$D$15*Datos!$C$15),IF(I40&lt;=Datos!$D$15,(I40*Datos!$C$15)))</f>
        <v>3648</v>
      </c>
      <c r="O40" s="112">
        <v>25</v>
      </c>
      <c r="P40" s="112">
        <f>SUM(L40:O40)</f>
        <v>23926.860666666667</v>
      </c>
      <c r="Q40" s="202">
        <f>+K40-P40</f>
        <v>96073.139333333325</v>
      </c>
    </row>
    <row r="41" spans="1:17" s="85" customFormat="1" ht="36.75" customHeight="1" x14ac:dyDescent="0.2">
      <c r="A41" s="303" t="s">
        <v>455</v>
      </c>
      <c r="B41" s="305"/>
      <c r="C41" s="116">
        <v>1</v>
      </c>
      <c r="D41" s="116"/>
      <c r="E41" s="190"/>
      <c r="F41" s="117"/>
      <c r="G41" s="118"/>
      <c r="H41" s="119"/>
      <c r="I41" s="120">
        <f t="shared" ref="I41:Q41" si="18">SUM(I40)</f>
        <v>120000</v>
      </c>
      <c r="J41" s="120">
        <f t="shared" si="18"/>
        <v>0</v>
      </c>
      <c r="K41" s="120">
        <f t="shared" si="18"/>
        <v>120000</v>
      </c>
      <c r="L41" s="120">
        <f t="shared" si="18"/>
        <v>3444</v>
      </c>
      <c r="M41" s="120">
        <f t="shared" si="18"/>
        <v>16809.860666666667</v>
      </c>
      <c r="N41" s="120">
        <f t="shared" si="18"/>
        <v>3648</v>
      </c>
      <c r="O41" s="120">
        <f t="shared" si="18"/>
        <v>25</v>
      </c>
      <c r="P41" s="120">
        <f t="shared" si="18"/>
        <v>23926.860666666667</v>
      </c>
      <c r="Q41" s="120">
        <f t="shared" si="18"/>
        <v>96073.139333333325</v>
      </c>
    </row>
    <row r="42" spans="1:17" s="7" customFormat="1" ht="36.75" customHeight="1" x14ac:dyDescent="0.2">
      <c r="A42" s="303" t="s">
        <v>476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6"/>
    </row>
    <row r="43" spans="1:17" s="7" customFormat="1" ht="38.25" customHeight="1" x14ac:dyDescent="0.2">
      <c r="A43" s="199">
        <v>12</v>
      </c>
      <c r="B43" s="154" t="s">
        <v>270</v>
      </c>
      <c r="C43" s="127" t="s">
        <v>412</v>
      </c>
      <c r="D43" s="127" t="s">
        <v>426</v>
      </c>
      <c r="E43" s="108" t="s">
        <v>326</v>
      </c>
      <c r="F43" s="108" t="s">
        <v>19</v>
      </c>
      <c r="G43" s="123">
        <v>45170</v>
      </c>
      <c r="H43" s="123">
        <v>45352</v>
      </c>
      <c r="I43" s="198">
        <v>157083.32999999999</v>
      </c>
      <c r="J43" s="112">
        <v>0</v>
      </c>
      <c r="K43" s="112">
        <f t="shared" ref="K43" si="19">SUM(I43:J43)</f>
        <v>157083.32999999999</v>
      </c>
      <c r="L43" s="112">
        <f>IF(K43&gt;=[1]Datos!$D$14,([1]Datos!$D$14*[1]Datos!$C$14),IF(K43&lt;=[1]Datos!$D$14,(K43*[1]Datos!$C$14)))</f>
        <v>4508.2915709999997</v>
      </c>
      <c r="M43" s="198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25532.786965916661</v>
      </c>
      <c r="N43" s="112">
        <f>IF(I43&gt;=Datos!$D$15,(Datos!$D$15*Datos!$C$15),IF(I43&lt;=Datos!$D$15,(I43*Datos!$C$15)))</f>
        <v>4775.333232</v>
      </c>
      <c r="O43" s="112">
        <v>25</v>
      </c>
      <c r="P43" s="112">
        <f>SUM(L43:O43)</f>
        <v>34841.41176891666</v>
      </c>
      <c r="Q43" s="202">
        <f>+K43-P43</f>
        <v>122241.91823108333</v>
      </c>
    </row>
    <row r="44" spans="1:17" s="85" customFormat="1" ht="36.75" customHeight="1" x14ac:dyDescent="0.2">
      <c r="A44" s="303" t="s">
        <v>455</v>
      </c>
      <c r="B44" s="305"/>
      <c r="C44" s="116">
        <v>1</v>
      </c>
      <c r="D44" s="116"/>
      <c r="E44" s="190"/>
      <c r="F44" s="117"/>
      <c r="G44" s="118"/>
      <c r="H44" s="119"/>
      <c r="I44" s="120">
        <f>SUM(I43)</f>
        <v>157083.32999999999</v>
      </c>
      <c r="J44" s="120">
        <f t="shared" ref="J44:Q44" si="20">SUM(J43)</f>
        <v>0</v>
      </c>
      <c r="K44" s="120">
        <f t="shared" si="20"/>
        <v>157083.32999999999</v>
      </c>
      <c r="L44" s="120">
        <f t="shared" si="20"/>
        <v>4508.2915709999997</v>
      </c>
      <c r="M44" s="120">
        <f t="shared" si="20"/>
        <v>25532.786965916661</v>
      </c>
      <c r="N44" s="120">
        <f t="shared" si="20"/>
        <v>4775.333232</v>
      </c>
      <c r="O44" s="120">
        <f t="shared" si="20"/>
        <v>25</v>
      </c>
      <c r="P44" s="120">
        <f t="shared" si="20"/>
        <v>34841.41176891666</v>
      </c>
      <c r="Q44" s="120">
        <f t="shared" si="20"/>
        <v>122241.91823108333</v>
      </c>
    </row>
    <row r="45" spans="1:17" s="7" customFormat="1" ht="36.75" customHeight="1" x14ac:dyDescent="0.2">
      <c r="A45" s="303" t="s">
        <v>496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6"/>
    </row>
    <row r="46" spans="1:17" s="7" customFormat="1" ht="38.25" customHeight="1" x14ac:dyDescent="0.2">
      <c r="A46" s="199">
        <v>13</v>
      </c>
      <c r="B46" s="154" t="s">
        <v>562</v>
      </c>
      <c r="C46" s="127" t="s">
        <v>532</v>
      </c>
      <c r="D46" s="127" t="s">
        <v>563</v>
      </c>
      <c r="E46" s="108" t="s">
        <v>326</v>
      </c>
      <c r="F46" s="108" t="s">
        <v>281</v>
      </c>
      <c r="G46" s="123">
        <v>45413</v>
      </c>
      <c r="H46" s="123">
        <v>45597</v>
      </c>
      <c r="I46" s="198">
        <v>28000</v>
      </c>
      <c r="J46" s="112">
        <v>0</v>
      </c>
      <c r="K46" s="112">
        <f t="shared" ref="K46" si="21">SUM(I46:J46)</f>
        <v>28000</v>
      </c>
      <c r="L46" s="112">
        <f>IF(K46&gt;=[1]Datos!$D$14,([1]Datos!$D$14*[1]Datos!$C$14),IF(K46&lt;=[1]Datos!$D$14,(K46*[1]Datos!$C$14)))</f>
        <v>803.6</v>
      </c>
      <c r="M46" s="198" t="str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0</v>
      </c>
      <c r="N46" s="112">
        <f>IF(I46&gt;=Datos!$D$15,(Datos!$D$15*Datos!$C$15),IF(I46&lt;=Datos!$D$15,(I46*Datos!$C$15)))</f>
        <v>851.2</v>
      </c>
      <c r="O46" s="112">
        <v>25</v>
      </c>
      <c r="P46" s="112">
        <f>SUM(L46:O46)</f>
        <v>1679.8000000000002</v>
      </c>
      <c r="Q46" s="202">
        <f>+K46-P46</f>
        <v>26320.2</v>
      </c>
    </row>
    <row r="47" spans="1:17" s="85" customFormat="1" ht="36.75" customHeight="1" x14ac:dyDescent="0.2">
      <c r="A47" s="303" t="s">
        <v>455</v>
      </c>
      <c r="B47" s="305"/>
      <c r="C47" s="116">
        <v>1</v>
      </c>
      <c r="D47" s="116"/>
      <c r="E47" s="190"/>
      <c r="F47" s="117"/>
      <c r="G47" s="118"/>
      <c r="H47" s="119"/>
      <c r="I47" s="120">
        <f>SUM(I46)</f>
        <v>28000</v>
      </c>
      <c r="J47" s="120">
        <f t="shared" ref="J47:Q47" si="22">SUM(J46)</f>
        <v>0</v>
      </c>
      <c r="K47" s="120">
        <f t="shared" si="22"/>
        <v>28000</v>
      </c>
      <c r="L47" s="120">
        <f t="shared" si="22"/>
        <v>803.6</v>
      </c>
      <c r="M47" s="120">
        <f t="shared" si="22"/>
        <v>0</v>
      </c>
      <c r="N47" s="120">
        <f t="shared" si="22"/>
        <v>851.2</v>
      </c>
      <c r="O47" s="120">
        <f t="shared" si="22"/>
        <v>25</v>
      </c>
      <c r="P47" s="120">
        <f t="shared" si="22"/>
        <v>1679.8000000000002</v>
      </c>
      <c r="Q47" s="120">
        <f t="shared" si="22"/>
        <v>26320.2</v>
      </c>
    </row>
    <row r="48" spans="1:17" s="7" customFormat="1" ht="36.75" customHeight="1" x14ac:dyDescent="0.2">
      <c r="A48" s="303" t="s">
        <v>587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6"/>
    </row>
    <row r="49" spans="1:17" s="7" customFormat="1" ht="38.25" customHeight="1" x14ac:dyDescent="0.2">
      <c r="A49" s="199">
        <v>14</v>
      </c>
      <c r="B49" s="154" t="s">
        <v>531</v>
      </c>
      <c r="C49" s="127" t="s">
        <v>532</v>
      </c>
      <c r="D49" s="127" t="s">
        <v>437</v>
      </c>
      <c r="E49" s="108" t="s">
        <v>326</v>
      </c>
      <c r="F49" s="108" t="s">
        <v>281</v>
      </c>
      <c r="G49" s="123">
        <v>45627</v>
      </c>
      <c r="H49" s="123">
        <v>45809</v>
      </c>
      <c r="I49" s="198">
        <v>30000</v>
      </c>
      <c r="J49" s="112">
        <v>0</v>
      </c>
      <c r="K49" s="112">
        <f>SUM(I49:J49)</f>
        <v>30000</v>
      </c>
      <c r="L49" s="112">
        <f>IF(K49&gt;=[1]Datos!$D$14,([1]Datos!$D$14*[1]Datos!$C$14),IF(K49&lt;=[1]Datos!$D$14,(K49*[1]Datos!$C$14)))</f>
        <v>861</v>
      </c>
      <c r="M49" s="198" t="str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0</v>
      </c>
      <c r="N49" s="112">
        <f>IF(I49&gt;=Datos!$D$15,(Datos!$D$15*Datos!$C$15),IF(I49&lt;=Datos!$D$15,(I49*Datos!$C$15)))</f>
        <v>912</v>
      </c>
      <c r="O49" s="112">
        <v>1538.05</v>
      </c>
      <c r="P49" s="112">
        <f>SUM(L49:O49)</f>
        <v>3311.05</v>
      </c>
      <c r="Q49" s="202">
        <f>+K49-P49</f>
        <v>26688.95</v>
      </c>
    </row>
    <row r="50" spans="1:17" s="85" customFormat="1" ht="36.75" customHeight="1" x14ac:dyDescent="0.2">
      <c r="A50" s="303" t="s">
        <v>455</v>
      </c>
      <c r="B50" s="305"/>
      <c r="C50" s="116">
        <v>1</v>
      </c>
      <c r="D50" s="116"/>
      <c r="E50" s="190"/>
      <c r="F50" s="117"/>
      <c r="G50" s="118"/>
      <c r="H50" s="119"/>
      <c r="I50" s="120">
        <f t="shared" ref="I50:Q50" si="23">SUM(I49:I49)</f>
        <v>30000</v>
      </c>
      <c r="J50" s="120">
        <f t="shared" si="23"/>
        <v>0</v>
      </c>
      <c r="K50" s="120">
        <f t="shared" si="23"/>
        <v>30000</v>
      </c>
      <c r="L50" s="120">
        <f t="shared" si="23"/>
        <v>861</v>
      </c>
      <c r="M50" s="120">
        <f t="shared" si="23"/>
        <v>0</v>
      </c>
      <c r="N50" s="120">
        <f t="shared" si="23"/>
        <v>912</v>
      </c>
      <c r="O50" s="120">
        <f t="shared" si="23"/>
        <v>1538.05</v>
      </c>
      <c r="P50" s="120">
        <f t="shared" si="23"/>
        <v>3311.05</v>
      </c>
      <c r="Q50" s="120">
        <f t="shared" si="23"/>
        <v>26688.95</v>
      </c>
    </row>
    <row r="51" spans="1:17" s="7" customFormat="1" ht="36.75" customHeight="1" x14ac:dyDescent="0.2">
      <c r="A51" s="303" t="s">
        <v>658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6"/>
    </row>
    <row r="52" spans="1:17" s="7" customFormat="1" ht="38.25" customHeight="1" x14ac:dyDescent="0.2">
      <c r="A52" s="199">
        <v>15</v>
      </c>
      <c r="B52" s="122" t="s">
        <v>655</v>
      </c>
      <c r="C52" s="122" t="s">
        <v>412</v>
      </c>
      <c r="D52" s="122" t="s">
        <v>657</v>
      </c>
      <c r="E52" s="108" t="s">
        <v>326</v>
      </c>
      <c r="F52" s="108" t="s">
        <v>19</v>
      </c>
      <c r="G52" s="123">
        <v>45536</v>
      </c>
      <c r="H52" s="123">
        <v>45717</v>
      </c>
      <c r="I52" s="112">
        <v>85000</v>
      </c>
      <c r="J52" s="112">
        <v>0</v>
      </c>
      <c r="K52" s="198">
        <f t="shared" ref="K52:K56" si="24">+I52+J52</f>
        <v>85000</v>
      </c>
      <c r="L52" s="112">
        <f>IF(K52&gt;=[1]Datos!$D$14,([1]Datos!$D$14*[1]Datos!$C$14),IF(K52&lt;=[1]Datos!$D$14,(K52*[1]Datos!$C$14)))</f>
        <v>2439.5</v>
      </c>
      <c r="M52" s="112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8576.9856666666674</v>
      </c>
      <c r="N52" s="112">
        <f>IF(I52&gt;=Datos!$D$15,(Datos!$D$15*Datos!$C$15),IF(I52&lt;=Datos!$D$15,(I52*Datos!$C$15)))</f>
        <v>2584</v>
      </c>
      <c r="O52" s="112">
        <v>25</v>
      </c>
      <c r="P52" s="112">
        <f>SUM(L52:O52)</f>
        <v>13625.485666666667</v>
      </c>
      <c r="Q52" s="202">
        <f>+I52-P52</f>
        <v>71374.514333333325</v>
      </c>
    </row>
    <row r="53" spans="1:17" s="7" customFormat="1" ht="38.25" customHeight="1" x14ac:dyDescent="0.2">
      <c r="A53" s="199">
        <v>16</v>
      </c>
      <c r="B53" s="122" t="s">
        <v>656</v>
      </c>
      <c r="C53" s="122" t="s">
        <v>412</v>
      </c>
      <c r="D53" s="122" t="s">
        <v>657</v>
      </c>
      <c r="E53" s="108" t="s">
        <v>326</v>
      </c>
      <c r="F53" s="108" t="s">
        <v>19</v>
      </c>
      <c r="G53" s="123">
        <v>45536</v>
      </c>
      <c r="H53" s="123">
        <v>45717</v>
      </c>
      <c r="I53" s="112">
        <v>150000</v>
      </c>
      <c r="J53" s="112">
        <v>0</v>
      </c>
      <c r="K53" s="198">
        <f t="shared" si="24"/>
        <v>150000</v>
      </c>
      <c r="L53" s="112">
        <f>IF(K53&gt;=[1]Datos!$D$14,([1]Datos!$D$14*[1]Datos!$C$14),IF(K53&lt;=[1]Datos!$D$14,(K53*[1]Datos!$C$14)))</f>
        <v>4305</v>
      </c>
      <c r="M53" s="112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23866.610666666667</v>
      </c>
      <c r="N53" s="112">
        <f>IF(I53&gt;=Datos!$D$15,(Datos!$D$15*Datos!$C$15),IF(I53&lt;=Datos!$D$15,(I53*Datos!$C$15)))</f>
        <v>4560</v>
      </c>
      <c r="O53" s="112">
        <v>25</v>
      </c>
      <c r="P53" s="112">
        <f>SUM(L53:O53)</f>
        <v>32756.610666666667</v>
      </c>
      <c r="Q53" s="202">
        <f>+I53-P53</f>
        <v>117243.38933333333</v>
      </c>
    </row>
    <row r="54" spans="1:17" s="7" customFormat="1" ht="38.25" customHeight="1" x14ac:dyDescent="0.2">
      <c r="A54" s="199">
        <v>17</v>
      </c>
      <c r="B54" s="122" t="s">
        <v>661</v>
      </c>
      <c r="C54" s="122" t="s">
        <v>659</v>
      </c>
      <c r="D54" s="122" t="s">
        <v>663</v>
      </c>
      <c r="E54" s="108" t="s">
        <v>326</v>
      </c>
      <c r="F54" s="108" t="s">
        <v>19</v>
      </c>
      <c r="G54" s="123">
        <v>45536</v>
      </c>
      <c r="H54" s="123">
        <v>45717</v>
      </c>
      <c r="I54" s="112">
        <v>75000</v>
      </c>
      <c r="J54" s="112">
        <v>0</v>
      </c>
      <c r="K54" s="198">
        <f t="shared" si="24"/>
        <v>75000</v>
      </c>
      <c r="L54" s="112">
        <f>IF(K54&gt;=[1]Datos!$D$14,([1]Datos!$D$14*[1]Datos!$C$14),IF(K54&lt;=[1]Datos!$D$14,(K54*[1]Datos!$C$14)))</f>
        <v>2152.5</v>
      </c>
      <c r="M54" s="112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6309.3756666666668</v>
      </c>
      <c r="N54" s="112">
        <f>IF(I54&gt;=Datos!$D$15,(Datos!$D$15*Datos!$C$15),IF(I54&lt;=Datos!$D$15,(I54*Datos!$C$15)))</f>
        <v>2280</v>
      </c>
      <c r="O54" s="112">
        <v>25</v>
      </c>
      <c r="P54" s="112">
        <f t="shared" ref="P54:P56" si="25">SUM(L54:O54)</f>
        <v>10766.875666666667</v>
      </c>
      <c r="Q54" s="202">
        <f t="shared" ref="Q54:Q56" si="26">+I54-P54</f>
        <v>64233.124333333333</v>
      </c>
    </row>
    <row r="55" spans="1:17" s="7" customFormat="1" ht="38.25" customHeight="1" x14ac:dyDescent="0.2">
      <c r="A55" s="199">
        <v>18</v>
      </c>
      <c r="B55" s="122" t="s">
        <v>662</v>
      </c>
      <c r="C55" s="122" t="s">
        <v>659</v>
      </c>
      <c r="D55" s="122" t="s">
        <v>663</v>
      </c>
      <c r="E55" s="108" t="s">
        <v>326</v>
      </c>
      <c r="F55" s="108" t="s">
        <v>19</v>
      </c>
      <c r="G55" s="123">
        <v>45536</v>
      </c>
      <c r="H55" s="123">
        <v>45717</v>
      </c>
      <c r="I55" s="112">
        <v>75000</v>
      </c>
      <c r="J55" s="112">
        <v>0</v>
      </c>
      <c r="K55" s="198">
        <f t="shared" si="24"/>
        <v>75000</v>
      </c>
      <c r="L55" s="112">
        <f>IF(K55&gt;=[1]Datos!$D$14,([1]Datos!$D$14*[1]Datos!$C$14),IF(K55&lt;=[1]Datos!$D$14,(K55*[1]Datos!$C$14)))</f>
        <v>2152.5</v>
      </c>
      <c r="M55" s="11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6309.3756666666668</v>
      </c>
      <c r="N55" s="112">
        <f>IF(I55&gt;=Datos!$D$15,(Datos!$D$15*Datos!$C$15),IF(I55&lt;=Datos!$D$15,(I55*Datos!$C$15)))</f>
        <v>2280</v>
      </c>
      <c r="O55" s="112">
        <v>25</v>
      </c>
      <c r="P55" s="112">
        <f t="shared" si="25"/>
        <v>10766.875666666667</v>
      </c>
      <c r="Q55" s="202">
        <f t="shared" si="26"/>
        <v>64233.124333333333</v>
      </c>
    </row>
    <row r="56" spans="1:17" s="7" customFormat="1" ht="38.25" customHeight="1" x14ac:dyDescent="0.2">
      <c r="A56" s="199">
        <v>19</v>
      </c>
      <c r="B56" s="122" t="s">
        <v>998</v>
      </c>
      <c r="C56" s="122" t="s">
        <v>412</v>
      </c>
      <c r="D56" s="122" t="s">
        <v>663</v>
      </c>
      <c r="E56" s="108" t="s">
        <v>326</v>
      </c>
      <c r="F56" s="108" t="s">
        <v>19</v>
      </c>
      <c r="G56" s="123">
        <v>45809</v>
      </c>
      <c r="H56" s="123">
        <v>45992</v>
      </c>
      <c r="I56" s="112">
        <v>75000</v>
      </c>
      <c r="J56" s="112">
        <v>0</v>
      </c>
      <c r="K56" s="198">
        <f t="shared" si="24"/>
        <v>75000</v>
      </c>
      <c r="L56" s="112">
        <f>IF(K56&gt;=[1]Datos!$D$14,([1]Datos!$D$14*[1]Datos!$C$14),IF(K56&lt;=[1]Datos!$D$14,(K56*[1]Datos!$C$14)))</f>
        <v>2152.5</v>
      </c>
      <c r="M56" s="112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6309.3756666666668</v>
      </c>
      <c r="N56" s="112">
        <f>IF(I56&gt;=Datos!$D$15,(Datos!$D$15*Datos!$C$15),IF(I56&lt;=Datos!$D$15,(I56*Datos!$C$15)))</f>
        <v>2280</v>
      </c>
      <c r="O56" s="112">
        <v>25</v>
      </c>
      <c r="P56" s="112">
        <f t="shared" si="25"/>
        <v>10766.875666666667</v>
      </c>
      <c r="Q56" s="202">
        <f t="shared" si="26"/>
        <v>64233.124333333333</v>
      </c>
    </row>
    <row r="57" spans="1:17" s="7" customFormat="1" ht="38.25" customHeight="1" x14ac:dyDescent="0.2">
      <c r="A57" s="199">
        <v>20</v>
      </c>
      <c r="B57" s="122" t="s">
        <v>1006</v>
      </c>
      <c r="C57" s="122" t="s">
        <v>412</v>
      </c>
      <c r="D57" s="122" t="s">
        <v>760</v>
      </c>
      <c r="E57" s="108" t="s">
        <v>326</v>
      </c>
      <c r="F57" s="108" t="s">
        <v>281</v>
      </c>
      <c r="G57" s="123">
        <v>45839</v>
      </c>
      <c r="H57" s="123">
        <v>45870</v>
      </c>
      <c r="I57" s="112">
        <v>107000</v>
      </c>
      <c r="J57" s="112">
        <v>0</v>
      </c>
      <c r="K57" s="198">
        <f t="shared" ref="K57" si="27">+I57+J57</f>
        <v>107000</v>
      </c>
      <c r="L57" s="112">
        <f>IF(K57&gt;=[1]Datos!$D$14,([1]Datos!$D$14*[1]Datos!$C$14),IF(K57&lt;=[1]Datos!$D$14,(K57*[1]Datos!$C$14)))</f>
        <v>3070.9</v>
      </c>
      <c r="M57" s="112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13751.935666666668</v>
      </c>
      <c r="N57" s="112">
        <f>IF(I57&gt;=Datos!$D$15,(Datos!$D$15*Datos!$C$15),IF(I57&lt;=Datos!$D$15,(I57*Datos!$C$15)))</f>
        <v>3252.8</v>
      </c>
      <c r="O57" s="112">
        <v>25</v>
      </c>
      <c r="P57" s="112">
        <f t="shared" ref="P57" si="28">SUM(L57:O57)</f>
        <v>20100.635666666669</v>
      </c>
      <c r="Q57" s="202">
        <f t="shared" ref="Q57" si="29">+I57-P57</f>
        <v>86899.364333333331</v>
      </c>
    </row>
    <row r="58" spans="1:17" s="85" customFormat="1" ht="36.75" customHeight="1" x14ac:dyDescent="0.2">
      <c r="A58" s="303" t="s">
        <v>455</v>
      </c>
      <c r="B58" s="305"/>
      <c r="C58" s="116">
        <v>6</v>
      </c>
      <c r="D58" s="116"/>
      <c r="E58" s="190"/>
      <c r="F58" s="117"/>
      <c r="G58" s="118"/>
      <c r="H58" s="119"/>
      <c r="I58" s="120">
        <f>SUM(I52:I57)</f>
        <v>567000</v>
      </c>
      <c r="J58" s="120">
        <f t="shared" ref="J58:Q58" si="30">SUM(J52:J57)</f>
        <v>0</v>
      </c>
      <c r="K58" s="120">
        <f t="shared" si="30"/>
        <v>567000</v>
      </c>
      <c r="L58" s="120">
        <f t="shared" si="30"/>
        <v>16272.9</v>
      </c>
      <c r="M58" s="120">
        <f t="shared" si="30"/>
        <v>65123.659</v>
      </c>
      <c r="N58" s="120">
        <f t="shared" si="30"/>
        <v>17236.8</v>
      </c>
      <c r="O58" s="120">
        <f t="shared" si="30"/>
        <v>150</v>
      </c>
      <c r="P58" s="120">
        <f t="shared" si="30"/>
        <v>98783.358999999997</v>
      </c>
      <c r="Q58" s="120">
        <f t="shared" si="30"/>
        <v>468216.641</v>
      </c>
    </row>
    <row r="59" spans="1:17" s="7" customFormat="1" ht="36.75" customHeight="1" x14ac:dyDescent="0.2">
      <c r="A59" s="303" t="s">
        <v>660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6"/>
    </row>
    <row r="60" spans="1:17" s="7" customFormat="1" ht="38.25" customHeight="1" x14ac:dyDescent="0.2">
      <c r="A60" s="199">
        <v>21</v>
      </c>
      <c r="B60" s="122" t="s">
        <v>434</v>
      </c>
      <c r="C60" s="122" t="s">
        <v>286</v>
      </c>
      <c r="D60" s="122" t="s">
        <v>435</v>
      </c>
      <c r="E60" s="108" t="s">
        <v>326</v>
      </c>
      <c r="F60" s="108" t="s">
        <v>19</v>
      </c>
      <c r="G60" s="123">
        <v>45231</v>
      </c>
      <c r="H60" s="123">
        <v>45413</v>
      </c>
      <c r="I60" s="112">
        <v>110000</v>
      </c>
      <c r="J60" s="112">
        <v>0</v>
      </c>
      <c r="K60" s="198">
        <f>SUM(I60:J60)</f>
        <v>110000</v>
      </c>
      <c r="L60" s="112">
        <f>IF(K60&gt;=[1]Datos!$D$14,([1]Datos!$D$14*[1]Datos!$C$14),IF(K60&lt;=[1]Datos!$D$14,(K60*[1]Datos!$C$14)))</f>
        <v>3157</v>
      </c>
      <c r="M60" s="112">
        <f>IF((I60-L60-N60)&lt;=Datos!$G$7,"0",IF((I60-L60-N60)&lt;=Datos!$G$8,((I60-L60-N60)-Datos!$F$8)*Datos!$I$6,IF((I60-L60-N60)&lt;=Datos!$G$9,Datos!$I$8+((I60-L60-N60)-Datos!$F$9)*Datos!$J$6,IF((I60-L60-N60)&gt;=Datos!$F$10,(Datos!$I$8+Datos!$J$8)+((I60-L60-N60)-Datos!$F$10)*Datos!$K$6))))</f>
        <v>14457.610666666667</v>
      </c>
      <c r="N60" s="112">
        <f>IF(I60&gt;=Datos!$D$15,(Datos!$D$15*Datos!$C$15),IF(I60&lt;=Datos!$D$15,(I60*Datos!$C$15)))</f>
        <v>3344</v>
      </c>
      <c r="O60" s="112">
        <v>5025</v>
      </c>
      <c r="P60" s="112">
        <f>SUM(L60:O60)</f>
        <v>25983.610666666667</v>
      </c>
      <c r="Q60" s="202">
        <f>+I60-P60</f>
        <v>84016.389333333325</v>
      </c>
    </row>
    <row r="61" spans="1:17" s="85" customFormat="1" ht="36.75" customHeight="1" x14ac:dyDescent="0.2">
      <c r="A61" s="303" t="s">
        <v>455</v>
      </c>
      <c r="B61" s="305"/>
      <c r="C61" s="116">
        <v>1</v>
      </c>
      <c r="D61" s="116"/>
      <c r="E61" s="190"/>
      <c r="F61" s="117"/>
      <c r="G61" s="118"/>
      <c r="H61" s="119"/>
      <c r="I61" s="120">
        <f>SUM(I60)</f>
        <v>110000</v>
      </c>
      <c r="J61" s="120">
        <f t="shared" ref="J61:Q61" si="31">SUM(J60)</f>
        <v>0</v>
      </c>
      <c r="K61" s="120">
        <f t="shared" si="31"/>
        <v>110000</v>
      </c>
      <c r="L61" s="120">
        <f t="shared" si="31"/>
        <v>3157</v>
      </c>
      <c r="M61" s="120">
        <f t="shared" si="31"/>
        <v>14457.610666666667</v>
      </c>
      <c r="N61" s="120">
        <f t="shared" si="31"/>
        <v>3344</v>
      </c>
      <c r="O61" s="120">
        <f t="shared" si="31"/>
        <v>5025</v>
      </c>
      <c r="P61" s="120">
        <f t="shared" si="31"/>
        <v>25983.610666666667</v>
      </c>
      <c r="Q61" s="120">
        <f t="shared" si="31"/>
        <v>84016.389333333325</v>
      </c>
    </row>
    <row r="62" spans="1:17" s="7" customFormat="1" ht="36.75" customHeight="1" x14ac:dyDescent="0.2">
      <c r="A62" s="303" t="s">
        <v>935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6"/>
    </row>
    <row r="63" spans="1:17" s="7" customFormat="1" ht="49.5" customHeight="1" x14ac:dyDescent="0.2">
      <c r="A63" s="199">
        <v>22</v>
      </c>
      <c r="B63" s="154" t="s">
        <v>934</v>
      </c>
      <c r="C63" s="127" t="s">
        <v>332</v>
      </c>
      <c r="D63" s="127" t="s">
        <v>936</v>
      </c>
      <c r="E63" s="108" t="s">
        <v>326</v>
      </c>
      <c r="F63" s="108" t="s">
        <v>281</v>
      </c>
      <c r="G63" s="123">
        <v>45778</v>
      </c>
      <c r="H63" s="123">
        <v>45962</v>
      </c>
      <c r="I63" s="198">
        <v>32000</v>
      </c>
      <c r="J63" s="112">
        <v>0</v>
      </c>
      <c r="K63" s="112">
        <f>SUM(I63:J63)</f>
        <v>32000</v>
      </c>
      <c r="L63" s="112">
        <f>IF(K63&gt;=[1]Datos!$D$14,([1]Datos!$D$14*[1]Datos!$C$14),IF(K63&lt;=[1]Datos!$D$14,(K63*[1]Datos!$C$14)))</f>
        <v>918.4</v>
      </c>
      <c r="M63" s="198" t="str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0</v>
      </c>
      <c r="N63" s="112">
        <f>IF(I63&gt;=Datos!$D$15,(Datos!$D$15*Datos!$C$15),IF(I63&lt;=Datos!$D$15,(I63*Datos!$C$15)))</f>
        <v>972.8</v>
      </c>
      <c r="O63" s="112">
        <v>25</v>
      </c>
      <c r="P63" s="112">
        <f>SUM(L63:O63)</f>
        <v>1916.1999999999998</v>
      </c>
      <c r="Q63" s="202">
        <f>+K63-P63</f>
        <v>30083.8</v>
      </c>
    </row>
    <row r="64" spans="1:17" s="85" customFormat="1" ht="36.75" customHeight="1" x14ac:dyDescent="0.2">
      <c r="A64" s="303" t="s">
        <v>455</v>
      </c>
      <c r="B64" s="305"/>
      <c r="C64" s="116">
        <v>1</v>
      </c>
      <c r="D64" s="116"/>
      <c r="E64" s="190"/>
      <c r="F64" s="117"/>
      <c r="G64" s="118"/>
      <c r="H64" s="119"/>
      <c r="I64" s="120">
        <f t="shared" ref="I64:Q64" si="32">SUM(I63)</f>
        <v>32000</v>
      </c>
      <c r="J64" s="120">
        <f t="shared" si="32"/>
        <v>0</v>
      </c>
      <c r="K64" s="120">
        <f t="shared" si="32"/>
        <v>32000</v>
      </c>
      <c r="L64" s="120">
        <f t="shared" si="32"/>
        <v>918.4</v>
      </c>
      <c r="M64" s="120">
        <f t="shared" si="32"/>
        <v>0</v>
      </c>
      <c r="N64" s="120">
        <f t="shared" si="32"/>
        <v>972.8</v>
      </c>
      <c r="O64" s="120">
        <f t="shared" si="32"/>
        <v>25</v>
      </c>
      <c r="P64" s="120">
        <f t="shared" si="32"/>
        <v>1916.1999999999998</v>
      </c>
      <c r="Q64" s="120">
        <f t="shared" si="32"/>
        <v>30083.8</v>
      </c>
    </row>
    <row r="65" spans="1:17" s="7" customFormat="1" ht="36.75" customHeight="1" x14ac:dyDescent="0.2">
      <c r="A65" s="303" t="s">
        <v>468</v>
      </c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6"/>
    </row>
    <row r="66" spans="1:17" s="7" customFormat="1" ht="49.5" customHeight="1" x14ac:dyDescent="0.2">
      <c r="A66" s="199">
        <v>23</v>
      </c>
      <c r="B66" s="154" t="s">
        <v>528</v>
      </c>
      <c r="C66" s="127" t="s">
        <v>286</v>
      </c>
      <c r="D66" s="127" t="s">
        <v>242</v>
      </c>
      <c r="E66" s="108" t="s">
        <v>326</v>
      </c>
      <c r="F66" s="108" t="s">
        <v>19</v>
      </c>
      <c r="G66" s="123">
        <v>45170</v>
      </c>
      <c r="H66" s="123">
        <v>45352</v>
      </c>
      <c r="I66" s="198">
        <v>45000</v>
      </c>
      <c r="J66" s="112">
        <v>0</v>
      </c>
      <c r="K66" s="112">
        <f>SUM(I66:J66)</f>
        <v>45000</v>
      </c>
      <c r="L66" s="112">
        <f>IF(K66&gt;=[1]Datos!$D$14,([1]Datos!$D$14*[1]Datos!$C$14),IF(K66&lt;=[1]Datos!$D$14,(K66*[1]Datos!$C$14)))</f>
        <v>1291.5</v>
      </c>
      <c r="M66" s="198">
        <f>IF((I66-L66-N66)&lt;=Datos!$G$7,"0",IF((I66-L66-N66)&lt;=Datos!$G$8,((I66-L66-N66)-Datos!$F$8)*Datos!$I$6,IF((I66-L66-N66)&lt;=Datos!$G$9,Datos!$I$8+((I66-L66-N66)-Datos!$F$9)*Datos!$J$6,IF((I66-L66-N66)&gt;=Datos!$F$10,(Datos!$I$8+Datos!$J$8)+((I66-L66-N66)-Datos!$F$10)*Datos!$K$6))))</f>
        <v>1148.3234999999997</v>
      </c>
      <c r="N66" s="112">
        <f>IF(I66&gt;=Datos!$D$15,(Datos!$D$15*Datos!$C$15),IF(I66&lt;=Datos!$D$15,(I66*Datos!$C$15)))</f>
        <v>1368</v>
      </c>
      <c r="O66" s="112">
        <v>25</v>
      </c>
      <c r="P66" s="112">
        <f>SUM(L66:O66)</f>
        <v>3832.8234999999995</v>
      </c>
      <c r="Q66" s="202">
        <f>+K66-P66</f>
        <v>41167.176500000001</v>
      </c>
    </row>
    <row r="67" spans="1:17" s="85" customFormat="1" ht="36.75" customHeight="1" x14ac:dyDescent="0.2">
      <c r="A67" s="303" t="s">
        <v>455</v>
      </c>
      <c r="B67" s="305"/>
      <c r="C67" s="116">
        <v>1</v>
      </c>
      <c r="D67" s="116"/>
      <c r="E67" s="190"/>
      <c r="F67" s="117"/>
      <c r="G67" s="118"/>
      <c r="H67" s="119"/>
      <c r="I67" s="120">
        <f t="shared" ref="I67:Q67" si="33">SUM(I66)</f>
        <v>45000</v>
      </c>
      <c r="J67" s="120">
        <f t="shared" si="33"/>
        <v>0</v>
      </c>
      <c r="K67" s="120">
        <f t="shared" si="33"/>
        <v>45000</v>
      </c>
      <c r="L67" s="120">
        <f t="shared" si="33"/>
        <v>1291.5</v>
      </c>
      <c r="M67" s="120">
        <f t="shared" si="33"/>
        <v>1148.3234999999997</v>
      </c>
      <c r="N67" s="120">
        <f t="shared" si="33"/>
        <v>1368</v>
      </c>
      <c r="O67" s="120">
        <f t="shared" si="33"/>
        <v>25</v>
      </c>
      <c r="P67" s="120">
        <f t="shared" si="33"/>
        <v>3832.8234999999995</v>
      </c>
      <c r="Q67" s="120">
        <f t="shared" si="33"/>
        <v>41167.176500000001</v>
      </c>
    </row>
    <row r="68" spans="1:17" s="7" customFormat="1" ht="36.75" customHeight="1" x14ac:dyDescent="0.2">
      <c r="A68" s="303" t="s">
        <v>483</v>
      </c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6"/>
    </row>
    <row r="69" spans="1:17" s="7" customFormat="1" ht="49.5" customHeight="1" x14ac:dyDescent="0.2">
      <c r="A69" s="199">
        <v>24</v>
      </c>
      <c r="B69" s="154" t="s">
        <v>258</v>
      </c>
      <c r="C69" s="127" t="s">
        <v>284</v>
      </c>
      <c r="D69" s="127" t="s">
        <v>529</v>
      </c>
      <c r="E69" s="108" t="s">
        <v>326</v>
      </c>
      <c r="F69" s="108" t="s">
        <v>19</v>
      </c>
      <c r="G69" s="123">
        <v>44986</v>
      </c>
      <c r="H69" s="123">
        <v>45352</v>
      </c>
      <c r="I69" s="198">
        <v>80000</v>
      </c>
      <c r="J69" s="112">
        <v>0</v>
      </c>
      <c r="K69" s="112">
        <f>SUM(I69:J69)</f>
        <v>80000</v>
      </c>
      <c r="L69" s="112">
        <f>IF(K69&gt;=[1]Datos!$D$14,([1]Datos!$D$14*[1]Datos!$C$14),IF(K69&lt;=[1]Datos!$D$14,(K69*[1]Datos!$C$14)))</f>
        <v>2296</v>
      </c>
      <c r="M69" s="198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7400.8606666666674</v>
      </c>
      <c r="N69" s="112">
        <f>IF(I69&gt;=Datos!$D$15,(Datos!$D$15*Datos!$C$15),IF(I69&lt;=Datos!$D$15,(I69*Datos!$C$15)))</f>
        <v>2432</v>
      </c>
      <c r="O69" s="112">
        <v>25</v>
      </c>
      <c r="P69" s="112">
        <f>SUM(L69:O69)</f>
        <v>12153.860666666667</v>
      </c>
      <c r="Q69" s="202">
        <f>+K69-P69</f>
        <v>67846.139333333325</v>
      </c>
    </row>
    <row r="70" spans="1:17" s="7" customFormat="1" ht="38.25" customHeight="1" x14ac:dyDescent="0.2">
      <c r="A70" s="199">
        <v>25</v>
      </c>
      <c r="B70" s="154" t="s">
        <v>212</v>
      </c>
      <c r="C70" s="127" t="s">
        <v>284</v>
      </c>
      <c r="D70" s="127" t="s">
        <v>404</v>
      </c>
      <c r="E70" s="108" t="s">
        <v>326</v>
      </c>
      <c r="F70" s="108" t="s">
        <v>281</v>
      </c>
      <c r="G70" s="123">
        <v>44986</v>
      </c>
      <c r="H70" s="123">
        <v>45170</v>
      </c>
      <c r="I70" s="198">
        <v>68250</v>
      </c>
      <c r="J70" s="112">
        <v>0</v>
      </c>
      <c r="K70" s="198">
        <f t="shared" ref="K70" si="34">SUM(I70:J70)</f>
        <v>68250</v>
      </c>
      <c r="L70" s="112">
        <f>IF(K70&gt;=[1]Datos!$D$14,([1]Datos!$D$14*[1]Datos!$C$14),IF(K70&lt;=[1]Datos!$D$14,(K70*[1]Datos!$C$14)))</f>
        <v>1958.7750000000001</v>
      </c>
      <c r="M70" s="112">
        <f>IF((I70-L70-N70)&lt;=Datos!$G$7,"0",IF((I70-L70-N70)&lt;=Datos!$G$8,((I70-L70-N70)-Datos!$F$8)*Datos!$I$6,IF((I70-L70-N70)&lt;=Datos!$G$9,Datos!$I$8+((I70-L70-N70)-Datos!$F$9)*Datos!$J$6,IF((I70-L70-N70)&gt;=Datos!$F$10,(Datos!$I$8+Datos!$J$8)+((I70-L70-N70)-Datos!$F$10)*Datos!$K$6))))</f>
        <v>5039.1606666666667</v>
      </c>
      <c r="N70" s="112">
        <f>IF(I70&gt;=Datos!$D$15,(Datos!$D$15*Datos!$C$15),IF(I70&lt;=Datos!$D$15,(I70*Datos!$C$15)))</f>
        <v>2074.8000000000002</v>
      </c>
      <c r="O70" s="112">
        <v>25</v>
      </c>
      <c r="P70" s="112">
        <f t="shared" ref="P70" si="35">SUM(L70:O70)</f>
        <v>9097.7356666666674</v>
      </c>
      <c r="Q70" s="202">
        <f>+I70-P70</f>
        <v>59152.264333333333</v>
      </c>
    </row>
    <row r="71" spans="1:17" s="85" customFormat="1" ht="36.75" customHeight="1" x14ac:dyDescent="0.2">
      <c r="A71" s="303" t="s">
        <v>455</v>
      </c>
      <c r="B71" s="305"/>
      <c r="C71" s="116">
        <v>2</v>
      </c>
      <c r="D71" s="116"/>
      <c r="E71" s="190"/>
      <c r="F71" s="117"/>
      <c r="G71" s="118"/>
      <c r="H71" s="119"/>
      <c r="I71" s="120">
        <f t="shared" ref="I71:Q71" si="36">SUM(I69:I70)</f>
        <v>148250</v>
      </c>
      <c r="J71" s="120">
        <f t="shared" si="36"/>
        <v>0</v>
      </c>
      <c r="K71" s="120">
        <f t="shared" si="36"/>
        <v>148250</v>
      </c>
      <c r="L71" s="120">
        <f t="shared" si="36"/>
        <v>4254.7749999999996</v>
      </c>
      <c r="M71" s="120">
        <f t="shared" si="36"/>
        <v>12440.021333333334</v>
      </c>
      <c r="N71" s="120">
        <f t="shared" si="36"/>
        <v>4506.8</v>
      </c>
      <c r="O71" s="120">
        <f t="shared" si="36"/>
        <v>50</v>
      </c>
      <c r="P71" s="120">
        <f t="shared" si="36"/>
        <v>21251.596333333335</v>
      </c>
      <c r="Q71" s="120">
        <f t="shared" si="36"/>
        <v>126998.40366666665</v>
      </c>
    </row>
    <row r="72" spans="1:17" ht="25.5" customHeight="1" thickBot="1" x14ac:dyDescent="0.25">
      <c r="A72" s="207"/>
      <c r="B72" s="208" t="s">
        <v>11</v>
      </c>
      <c r="C72" s="208"/>
      <c r="D72" s="208"/>
      <c r="E72" s="208"/>
      <c r="F72" s="208"/>
      <c r="G72" s="208"/>
      <c r="H72" s="209"/>
      <c r="I72" s="210">
        <f t="shared" ref="I72:Q72" si="37">+I71+I67+I61+I58+I47+I44+I41+I38+I30+I23+I50+I64+I26</f>
        <v>2345583.33</v>
      </c>
      <c r="J72" s="210">
        <f t="shared" si="37"/>
        <v>0</v>
      </c>
      <c r="K72" s="210">
        <f t="shared" si="37"/>
        <v>2345583.33</v>
      </c>
      <c r="L72" s="210">
        <f t="shared" si="37"/>
        <v>67318.241570999991</v>
      </c>
      <c r="M72" s="210">
        <f t="shared" si="37"/>
        <v>291400.91463258333</v>
      </c>
      <c r="N72" s="210">
        <f t="shared" si="37"/>
        <v>71260.07323200001</v>
      </c>
      <c r="O72" s="210">
        <f t="shared" si="37"/>
        <v>7138.05</v>
      </c>
      <c r="P72" s="210">
        <f t="shared" si="37"/>
        <v>437117.27943558333</v>
      </c>
      <c r="Q72" s="210">
        <f t="shared" si="37"/>
        <v>1908466.0505644165</v>
      </c>
    </row>
    <row r="76" spans="1:17" x14ac:dyDescent="0.2">
      <c r="C76" s="2" t="s">
        <v>20</v>
      </c>
      <c r="E76" s="2"/>
      <c r="H76" s="290" t="s">
        <v>22</v>
      </c>
      <c r="I76" s="290"/>
      <c r="N76" s="290" t="s">
        <v>22</v>
      </c>
      <c r="O76" s="290"/>
    </row>
    <row r="77" spans="1:17" x14ac:dyDescent="0.2">
      <c r="E77" s="2"/>
      <c r="I77" s="5"/>
    </row>
    <row r="78" spans="1:17" x14ac:dyDescent="0.2">
      <c r="E78" s="2"/>
      <c r="I78" s="5"/>
    </row>
    <row r="79" spans="1:17" x14ac:dyDescent="0.2">
      <c r="C79" s="139"/>
      <c r="E79" s="2"/>
      <c r="H79" s="139"/>
      <c r="I79" s="159"/>
      <c r="N79" s="140"/>
      <c r="O79" s="140"/>
    </row>
    <row r="80" spans="1:17" x14ac:dyDescent="0.2">
      <c r="C80" s="2" t="s">
        <v>21</v>
      </c>
      <c r="E80" s="2"/>
      <c r="H80" s="297" t="s">
        <v>24</v>
      </c>
      <c r="I80" s="297"/>
      <c r="N80" s="290" t="s">
        <v>23</v>
      </c>
      <c r="O80" s="290"/>
    </row>
    <row r="86" spans="8:17" x14ac:dyDescent="0.2">
      <c r="H86" t="s">
        <v>1000</v>
      </c>
      <c r="I86">
        <v>2345583.33</v>
      </c>
      <c r="J86">
        <v>0</v>
      </c>
      <c r="K86">
        <v>2345583.33</v>
      </c>
      <c r="L86" s="7">
        <v>67318.25</v>
      </c>
      <c r="M86" s="7">
        <v>291401.02</v>
      </c>
      <c r="N86">
        <v>71260.070000000007</v>
      </c>
      <c r="O86">
        <v>7138.05</v>
      </c>
      <c r="P86">
        <v>437117.39</v>
      </c>
      <c r="Q86">
        <v>1908465.94</v>
      </c>
    </row>
    <row r="87" spans="8:17" x14ac:dyDescent="0.2">
      <c r="I87" s="158">
        <f>+I86-I72</f>
        <v>0</v>
      </c>
      <c r="J87" s="158">
        <f t="shared" ref="J87:Q87" si="38">+J86-J72</f>
        <v>0</v>
      </c>
      <c r="K87" s="158">
        <f t="shared" si="38"/>
        <v>0</v>
      </c>
      <c r="L87" s="158">
        <f t="shared" si="38"/>
        <v>8.4290000086184591E-3</v>
      </c>
      <c r="M87" s="158">
        <f t="shared" si="38"/>
        <v>0.10536741669056937</v>
      </c>
      <c r="N87" s="158">
        <f t="shared" si="38"/>
        <v>-3.2320000027539209E-3</v>
      </c>
      <c r="O87" s="158">
        <f t="shared" si="38"/>
        <v>0</v>
      </c>
      <c r="P87" s="158">
        <f t="shared" si="38"/>
        <v>0.11056441668188199</v>
      </c>
      <c r="Q87" s="158">
        <f t="shared" si="38"/>
        <v>-0.11056441650725901</v>
      </c>
    </row>
  </sheetData>
  <sortState xmlns:xlrd2="http://schemas.microsoft.com/office/spreadsheetml/2017/richdata2" ref="B21:Q36">
    <sortCondition ref="B21:B36"/>
  </sortState>
  <mergeCells count="34">
    <mergeCell ref="H80:I80"/>
    <mergeCell ref="N80:O80"/>
    <mergeCell ref="H76:I76"/>
    <mergeCell ref="N76:O76"/>
    <mergeCell ref="A68:Q68"/>
    <mergeCell ref="A71:B71"/>
    <mergeCell ref="A39:Q39"/>
    <mergeCell ref="A59:Q59"/>
    <mergeCell ref="A61:B61"/>
    <mergeCell ref="A65:Q65"/>
    <mergeCell ref="A67:B67"/>
    <mergeCell ref="A41:B41"/>
    <mergeCell ref="A42:Q42"/>
    <mergeCell ref="A48:Q48"/>
    <mergeCell ref="A50:B50"/>
    <mergeCell ref="A58:B58"/>
    <mergeCell ref="A45:Q45"/>
    <mergeCell ref="A47:B47"/>
    <mergeCell ref="A44:B44"/>
    <mergeCell ref="A51:Q51"/>
    <mergeCell ref="A62:Q62"/>
    <mergeCell ref="A64:B64"/>
    <mergeCell ref="A12:Q12"/>
    <mergeCell ref="A13:Q13"/>
    <mergeCell ref="A14:Q14"/>
    <mergeCell ref="B16:N16"/>
    <mergeCell ref="A38:B38"/>
    <mergeCell ref="A31:Q31"/>
    <mergeCell ref="A27:Q27"/>
    <mergeCell ref="A30:B30"/>
    <mergeCell ref="A21:Q21"/>
    <mergeCell ref="A23:B23"/>
    <mergeCell ref="A24:Q24"/>
    <mergeCell ref="A26:B26"/>
  </mergeCells>
  <pageMargins left="1" right="1" top="1" bottom="1" header="0.5" footer="0.5"/>
  <pageSetup paperSize="5" scale="51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A5" sqref="A5:O5"/>
    </sheetView>
  </sheetViews>
  <sheetFormatPr baseColWidth="10" defaultColWidth="9.140625" defaultRowHeight="12.75" x14ac:dyDescent="0.2"/>
  <cols>
    <col min="1" max="1" width="6.5703125" style="94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7" ht="9.75" customHeight="1" x14ac:dyDescent="0.2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7" ht="21.75" customHeight="1" x14ac:dyDescent="0.2">
      <c r="A4" s="286" t="s">
        <v>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26.25" customHeight="1" x14ac:dyDescent="0.25">
      <c r="A5" s="286" t="s">
        <v>1005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14"/>
      <c r="Q5" s="14"/>
    </row>
    <row r="6" spans="1:17" ht="10.5" customHeight="1" x14ac:dyDescent="0.2">
      <c r="B6" s="143"/>
      <c r="C6" s="143"/>
      <c r="G6" s="143"/>
      <c r="H6" s="143"/>
      <c r="I6" s="143"/>
      <c r="K6" s="143"/>
      <c r="M6" s="143"/>
      <c r="N6" s="143"/>
    </row>
    <row r="7" spans="1:17" x14ac:dyDescent="0.2">
      <c r="A7" s="160"/>
      <c r="B7" s="290" t="s">
        <v>668</v>
      </c>
      <c r="C7" s="290"/>
      <c r="D7" s="290"/>
      <c r="E7" s="290"/>
      <c r="F7" s="290"/>
      <c r="G7" s="290"/>
      <c r="H7" s="290"/>
      <c r="I7" s="290"/>
      <c r="J7" s="290"/>
      <c r="K7" s="291"/>
      <c r="L7" s="292"/>
      <c r="M7" s="293"/>
      <c r="N7" s="290"/>
      <c r="O7" s="2"/>
    </row>
    <row r="8" spans="1:17" ht="14.25" customHeight="1" thickBot="1" x14ac:dyDescent="0.25">
      <c r="B8" s="143"/>
      <c r="C8" s="143"/>
      <c r="G8" s="143"/>
      <c r="H8" s="143"/>
      <c r="I8" s="143"/>
      <c r="K8" s="143"/>
      <c r="M8" s="143"/>
      <c r="N8" s="143"/>
    </row>
    <row r="9" spans="1:17" s="4" customFormat="1" ht="29.25" customHeight="1" thickBot="1" x14ac:dyDescent="0.25">
      <c r="A9" s="193" t="s">
        <v>8</v>
      </c>
      <c r="B9" s="144" t="s">
        <v>5</v>
      </c>
      <c r="C9" s="144" t="s">
        <v>17</v>
      </c>
      <c r="D9" s="144" t="s">
        <v>6</v>
      </c>
      <c r="E9" s="144" t="s">
        <v>279</v>
      </c>
      <c r="F9" s="144" t="s">
        <v>18</v>
      </c>
      <c r="G9" s="144" t="s">
        <v>12</v>
      </c>
      <c r="H9" s="144" t="s">
        <v>319</v>
      </c>
      <c r="I9" s="144" t="s">
        <v>320</v>
      </c>
      <c r="J9" s="144" t="s">
        <v>0</v>
      </c>
      <c r="K9" s="144" t="s">
        <v>1</v>
      </c>
      <c r="L9" s="144" t="s">
        <v>2</v>
      </c>
      <c r="M9" s="144" t="s">
        <v>321</v>
      </c>
      <c r="N9" s="144" t="s">
        <v>322</v>
      </c>
      <c r="O9" s="145" t="s">
        <v>10</v>
      </c>
    </row>
    <row r="10" spans="1:17" s="7" customFormat="1" ht="36.75" customHeight="1" x14ac:dyDescent="0.2">
      <c r="A10" s="294" t="s">
        <v>454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</row>
    <row r="11" spans="1:17" s="1" customFormat="1" ht="32.1" customHeight="1" x14ac:dyDescent="0.2">
      <c r="A11" s="146">
        <v>1</v>
      </c>
      <c r="B11" s="114" t="s">
        <v>551</v>
      </c>
      <c r="C11" s="122" t="s">
        <v>286</v>
      </c>
      <c r="D11" s="114" t="s">
        <v>552</v>
      </c>
      <c r="E11" s="148" t="s">
        <v>553</v>
      </c>
      <c r="F11" s="115" t="s">
        <v>281</v>
      </c>
      <c r="G11" s="134">
        <v>153000</v>
      </c>
      <c r="H11" s="134">
        <v>0</v>
      </c>
      <c r="I11" s="134">
        <f t="shared" ref="I11" si="0">SUM(G11:H11)</f>
        <v>153000</v>
      </c>
      <c r="J11" s="134">
        <f>IF(G11&gt;=Datos!$D$14,(Datos!$D$14*Datos!$C$14),IF(G11&lt;=Datos!$D$14,(G11*Datos!$C$14)))</f>
        <v>4391.1000000000004</v>
      </c>
      <c r="K11" s="134">
        <v>24572.29</v>
      </c>
      <c r="L11" s="134">
        <v>4651.2</v>
      </c>
      <c r="M11" s="134">
        <v>25</v>
      </c>
      <c r="N11" s="134">
        <f>+J11+K11+L11+M11</f>
        <v>33639.589999999997</v>
      </c>
      <c r="O11" s="113">
        <f t="shared" ref="O11" si="1">+I11-N11</f>
        <v>119360.41</v>
      </c>
    </row>
    <row r="12" spans="1:17" s="7" customFormat="1" ht="36.75" customHeight="1" x14ac:dyDescent="0.2">
      <c r="A12" s="303" t="s">
        <v>455</v>
      </c>
      <c r="B12" s="305"/>
      <c r="C12" s="116">
        <v>1</v>
      </c>
      <c r="D12" s="150"/>
      <c r="E12" s="151"/>
      <c r="F12" s="152"/>
      <c r="G12" s="153">
        <f t="shared" ref="G12:O12" si="2">SUM(G11:G11)</f>
        <v>153000</v>
      </c>
      <c r="H12" s="153">
        <f t="shared" si="2"/>
        <v>0</v>
      </c>
      <c r="I12" s="153">
        <f t="shared" si="2"/>
        <v>153000</v>
      </c>
      <c r="J12" s="153">
        <f t="shared" si="2"/>
        <v>4391.1000000000004</v>
      </c>
      <c r="K12" s="153">
        <f t="shared" si="2"/>
        <v>24572.29</v>
      </c>
      <c r="L12" s="153">
        <f t="shared" si="2"/>
        <v>4651.2</v>
      </c>
      <c r="M12" s="153">
        <f t="shared" si="2"/>
        <v>25</v>
      </c>
      <c r="N12" s="153">
        <f t="shared" si="2"/>
        <v>33639.589999999997</v>
      </c>
      <c r="O12" s="153">
        <f t="shared" si="2"/>
        <v>119360.41</v>
      </c>
    </row>
    <row r="13" spans="1:17" ht="36.75" customHeight="1" thickBot="1" x14ac:dyDescent="0.25">
      <c r="A13" s="301" t="s">
        <v>278</v>
      </c>
      <c r="B13" s="300"/>
      <c r="C13" s="298"/>
      <c r="D13" s="299"/>
      <c r="E13" s="299"/>
      <c r="F13" s="300"/>
      <c r="G13" s="192">
        <f>+G12</f>
        <v>153000</v>
      </c>
      <c r="H13" s="192">
        <f t="shared" ref="H13:O13" si="3">+H12</f>
        <v>0</v>
      </c>
      <c r="I13" s="192">
        <f t="shared" si="3"/>
        <v>153000</v>
      </c>
      <c r="J13" s="192">
        <f t="shared" si="3"/>
        <v>4391.1000000000004</v>
      </c>
      <c r="K13" s="192">
        <f t="shared" si="3"/>
        <v>24572.29</v>
      </c>
      <c r="L13" s="192">
        <f t="shared" si="3"/>
        <v>4651.2</v>
      </c>
      <c r="M13" s="192">
        <f t="shared" si="3"/>
        <v>25</v>
      </c>
      <c r="N13" s="192">
        <f t="shared" si="3"/>
        <v>33639.589999999997</v>
      </c>
      <c r="O13" s="192">
        <f t="shared" si="3"/>
        <v>119360.41</v>
      </c>
    </row>
    <row r="14" spans="1:17" s="16" customFormat="1" ht="32.1" customHeight="1" x14ac:dyDescent="0.2">
      <c r="A14" s="17"/>
      <c r="B14" s="156"/>
      <c r="C14" s="156"/>
      <c r="D14" s="156"/>
      <c r="E14" s="156"/>
      <c r="F14" s="156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1:17" s="1" customFormat="1" ht="32.1" customHeight="1" x14ac:dyDescent="0.2">
      <c r="A15" s="94"/>
      <c r="B15"/>
      <c r="C15"/>
      <c r="D15"/>
      <c r="E15"/>
      <c r="F15"/>
      <c r="G15" s="158"/>
      <c r="H15"/>
      <c r="I15"/>
      <c r="J15"/>
      <c r="K15"/>
      <c r="L15"/>
      <c r="M15"/>
      <c r="N15"/>
      <c r="O15" s="158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90" t="s">
        <v>22</v>
      </c>
      <c r="G17" s="290"/>
      <c r="L17" s="290" t="s">
        <v>22</v>
      </c>
      <c r="M17" s="290"/>
      <c r="O17" s="2"/>
    </row>
    <row r="18" spans="1:16" s="2" customFormat="1" ht="21.75" customHeight="1" x14ac:dyDescent="0.2">
      <c r="A18" s="94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39"/>
      <c r="F20" s="139"/>
      <c r="G20" s="159"/>
      <c r="H20"/>
      <c r="I20"/>
      <c r="J20"/>
      <c r="K20"/>
      <c r="L20" s="140"/>
      <c r="M20" s="140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97" t="s">
        <v>24</v>
      </c>
      <c r="G21" s="297"/>
      <c r="L21" s="290" t="s">
        <v>23</v>
      </c>
      <c r="M21" s="290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4.25" x14ac:dyDescent="0.2">
      <c r="A48" s="9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s="3" customFormat="1" ht="36" customHeight="1" x14ac:dyDescent="0.2">
      <c r="A49" s="9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s="3" customFormat="1" ht="36" customHeight="1" x14ac:dyDescent="0.2">
      <c r="A50" s="9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s="3" customFormat="1" ht="36" customHeight="1" x14ac:dyDescent="0.2">
      <c r="A51" s="9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s="3" customFormat="1" ht="36" customHeight="1" x14ac:dyDescent="0.2">
      <c r="A52" s="9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s="3" customFormat="1" ht="36" customHeight="1" x14ac:dyDescent="0.2">
      <c r="A53" s="9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s="3" customFormat="1" ht="36" customHeight="1" x14ac:dyDescent="0.2">
      <c r="A54" s="9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s="3" customFormat="1" ht="36" customHeight="1" x14ac:dyDescent="0.2">
      <c r="A55" s="9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s="3" customFormat="1" ht="36" customHeight="1" x14ac:dyDescent="0.2">
      <c r="A56" s="9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s="3" customFormat="1" ht="36" customHeight="1" x14ac:dyDescent="0.2">
      <c r="A57" s="9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s="3" customFormat="1" ht="36" customHeight="1" x14ac:dyDescent="0.2">
      <c r="A58" s="9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s="3" customFormat="1" ht="36" customHeight="1" x14ac:dyDescent="0.2">
      <c r="A59" s="9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s="3" customFormat="1" ht="36" customHeight="1" x14ac:dyDescent="0.2">
      <c r="A60" s="93"/>
    </row>
    <row r="61" spans="1:15" s="3" customFormat="1" ht="36" customHeight="1" x14ac:dyDescent="0.2">
      <c r="A61" s="94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4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10:O10"/>
    <mergeCell ref="B7:N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Nomina Personal Vigilancia</vt:lpstr>
      <vt:lpstr>Nómina Personal Eventual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2025-08-07T12:27:57Z</cp:lastPrinted>
  <dcterms:created xsi:type="dcterms:W3CDTF">2017-10-11T04:49:31Z</dcterms:created>
  <dcterms:modified xsi:type="dcterms:W3CDTF">2025-08-07T12:40:12Z</dcterms:modified>
</cp:coreProperties>
</file>